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updateLinks="never" codeName="ThisWorkbook" defaultThemeVersion="124226"/>
  <mc:AlternateContent xmlns:mc="http://schemas.openxmlformats.org/markup-compatibility/2006">
    <mc:Choice Requires="x15">
      <x15ac:absPath xmlns:x15ac="http://schemas.microsoft.com/office/spreadsheetml/2010/11/ac" url="https://miltonhydro-my.sharepoint.com/personal/ryanl_miltonhydro_com/Documents/Documents/"/>
    </mc:Choice>
  </mc:AlternateContent>
  <xr:revisionPtr revIDLastSave="0" documentId="14_{9D734D26-28AB-4C76-88C9-2CAE00BD373B}" xr6:coauthVersionLast="47" xr6:coauthVersionMax="47" xr10:uidLastSave="{00000000-0000-0000-0000-000000000000}"/>
  <bookViews>
    <workbookView xWindow="-108" yWindow="-108" windowWidth="23256" windowHeight="12576" xr2:uid="{00000000-000D-0000-FFFF-FFFF00000000}"/>
  </bookViews>
  <sheets>
    <sheet name="1. Information Sheet" sheetId="9" r:id="rId1"/>
    <sheet name="List" sheetId="10" state="hidden" r:id="rId2"/>
    <sheet name="GA Analysis " sheetId="4" state="hidden" r:id="rId3"/>
    <sheet name="GA 2016" sheetId="6" state="hidden" r:id="rId4"/>
    <sheet name="GA 2017" sheetId="24" state="hidden" r:id="rId5"/>
    <sheet name="GA 2018" sheetId="25" state="hidden" r:id="rId6"/>
    <sheet name="GA 2019" sheetId="26" state="hidden" r:id="rId7"/>
    <sheet name="GA 2020" sheetId="32" state="hidden" r:id="rId8"/>
    <sheet name="GA 2021" sheetId="27" r:id="rId9"/>
    <sheet name="Account 1588" sheetId="28" r:id="rId10"/>
    <sheet name="Principal Adjustments" sheetId="21" r:id="rId11"/>
    <sheet name="GA Rates" sheetId="12" state="hidden" r:id="rId12"/>
    <sheet name="4705" sheetId="29" state="hidden" r:id="rId13"/>
    <sheet name="RRR_2017" sheetId="11" state="hidden" r:id="rId14"/>
    <sheet name="RRR_2018" sheetId="15" state="hidden" r:id="rId15"/>
    <sheet name="RRR_2019" sheetId="23" state="hidden" r:id="rId16"/>
    <sheet name="RRR_2020" sheetId="30" state="hidden" r:id="rId17"/>
    <sheet name="RRR_2021" sheetId="31"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12" hidden="1">'4705'!$A$4:$G$78</definedName>
    <definedName name="_xlnm._FilterDatabase" localSheetId="13" hidden="1">RRR_2017!$A$4:$V$69</definedName>
    <definedName name="_xlnm._FilterDatabase" localSheetId="14" hidden="1">RRR_2018!$A$4:$U$4</definedName>
    <definedName name="_xlnm._FilterDatabase" localSheetId="17" hidden="1">RRR_2021!$A$4:$U$5</definedName>
    <definedName name="BI_LDCLIST" localSheetId="10">#REF!</definedName>
    <definedName name="BI_LDCLIST">#REF!</definedName>
    <definedName name="BridgeYear">'[1]LDC Info'!$E$26</definedName>
    <definedName name="contactf" localSheetId="10">#REF!</definedName>
    <definedName name="contactf">#REF!</definedName>
    <definedName name="Cust3a">'[2]6. Class A Consumption Data'!$C$25</definedName>
    <definedName name="CustomerAdministration" localSheetId="10">[2]lists!#REF!</definedName>
    <definedName name="CustomerAdministration">[2]lists!#REF!</definedName>
    <definedName name="EBNUMBER">'[1]LDC Info'!$E$16</definedName>
    <definedName name="G1LD">'[2]6. Class A Consumption Data'!$C$14</definedName>
    <definedName name="G1LDCBR" localSheetId="10">#REF!</definedName>
    <definedName name="G1LDCBR">#REF!</definedName>
    <definedName name="GARate" localSheetId="2">#REF!</definedName>
    <definedName name="GARate" localSheetId="10">#REF!</definedName>
    <definedName name="GARate">#REF!</definedName>
    <definedName name="Group1Desposing" localSheetId="10">'[2]4. Billing Det. for Def-Var'!#REF!</definedName>
    <definedName name="Group1Desposing">'[2]4. Billing Det. for Def-Var'!#REF!</definedName>
    <definedName name="histdate">[3]Financials!$E$76</definedName>
    <definedName name="Incr2000" localSheetId="10">#REF!</definedName>
    <definedName name="Incr2000">#REF!</definedName>
    <definedName name="Lakeland_SA">'[2]2016 List'!$C$13:$C$14</definedName>
    <definedName name="LDCList" localSheetId="13">OFFSET('[2]2016 List'!$A$1,0,0,COUNTA('[2]2016 List'!$A:$A),1)</definedName>
    <definedName name="LDCList">OFFSET('[4]2016 List'!$A$1,0,0,COUNTA('[4]2016 List'!$A:$A),1)</definedName>
    <definedName name="LIMIT" localSheetId="10">#REF!</definedName>
    <definedName name="LIMIT">#REF!</definedName>
    <definedName name="listdata">'[2]4. Billing Det. for Def-Var'!$A$17:$A$20</definedName>
    <definedName name="ListOfLDC" localSheetId="9">OFFSET([5]List!$A$1,0,0,COUNTA([5]List!$A:$A),1)</definedName>
    <definedName name="ListOfLDC" localSheetId="10">OFFSET([6]List!$A$1,0,0,COUNTA([6]List!$A:$A),1)</definedName>
    <definedName name="ListOfLDC">OFFSET(List!$A$1,0,0,COUNTA(List!$A:$A),1)</definedName>
    <definedName name="man_beg_bud" localSheetId="10">#REF!</definedName>
    <definedName name="man_beg_bud">#REF!</definedName>
    <definedName name="man_end_bud" localSheetId="10">#REF!</definedName>
    <definedName name="man_end_bud">#REF!</definedName>
    <definedName name="man12ACT" localSheetId="10">#REF!</definedName>
    <definedName name="man12ACT">#REF!</definedName>
    <definedName name="MANBUD" localSheetId="10">#REF!</definedName>
    <definedName name="MANBUD">#REF!</definedName>
    <definedName name="manCYACT" localSheetId="10">#REF!</definedName>
    <definedName name="manCYACT">#REF!</definedName>
    <definedName name="manCYBUD" localSheetId="10">#REF!</definedName>
    <definedName name="manCYBUD">#REF!</definedName>
    <definedName name="manCYF" localSheetId="10">#REF!</definedName>
    <definedName name="manCYF">#REF!</definedName>
    <definedName name="MANEND" localSheetId="10">#REF!</definedName>
    <definedName name="MANEND">#REF!</definedName>
    <definedName name="manNYbud" localSheetId="10">#REF!</definedName>
    <definedName name="manNYbud">#REF!</definedName>
    <definedName name="manpower_costs" localSheetId="10">#REF!</definedName>
    <definedName name="manpower_costs">#REF!</definedName>
    <definedName name="manPYACT" localSheetId="10">#REF!</definedName>
    <definedName name="manPYACT">#REF!</definedName>
    <definedName name="MANSTART" localSheetId="10">#REF!</definedName>
    <definedName name="MANSTART">#REF!</definedName>
    <definedName name="mat_beg_bud" localSheetId="10">#REF!</definedName>
    <definedName name="mat_beg_bud">#REF!</definedName>
    <definedName name="mat_end_bud" localSheetId="10">#REF!</definedName>
    <definedName name="mat_end_bud">#REF!</definedName>
    <definedName name="mat12ACT" localSheetId="10">#REF!</definedName>
    <definedName name="mat12ACT">#REF!</definedName>
    <definedName name="MATBUD" localSheetId="10">#REF!</definedName>
    <definedName name="MATBUD">#REF!</definedName>
    <definedName name="matCYACT" localSheetId="10">#REF!</definedName>
    <definedName name="matCYACT">#REF!</definedName>
    <definedName name="matCYBUD" localSheetId="10">#REF!</definedName>
    <definedName name="matCYBUD">#REF!</definedName>
    <definedName name="matCYF" localSheetId="10">#REF!</definedName>
    <definedName name="matCYF">#REF!</definedName>
    <definedName name="MATEND" localSheetId="10">#REF!</definedName>
    <definedName name="MATEND">#REF!</definedName>
    <definedName name="material_costs" localSheetId="10">#REF!</definedName>
    <definedName name="material_costs">#REF!</definedName>
    <definedName name="matNYbud" localSheetId="10">#REF!</definedName>
    <definedName name="matNYbud">#REF!</definedName>
    <definedName name="matPYACT" localSheetId="10">#REF!</definedName>
    <definedName name="matPYACT">#REF!</definedName>
    <definedName name="MATSTART" localSheetId="10">#REF!</definedName>
    <definedName name="MATSTART">#REF!</definedName>
    <definedName name="MidPeak">'[2]17. Regulatory Charges'!$D$24</definedName>
    <definedName name="OffPeak">'[2]17. Regulatory Charges'!$D$23</definedName>
    <definedName name="OnPeak">'[2]17. Regulatory Charges'!$D$25</definedName>
    <definedName name="oth_beg_bud" localSheetId="10">#REF!</definedName>
    <definedName name="oth_beg_bud">#REF!</definedName>
    <definedName name="oth_end_bud" localSheetId="10">#REF!</definedName>
    <definedName name="oth_end_bud">#REF!</definedName>
    <definedName name="oth12ACT" localSheetId="10">#REF!</definedName>
    <definedName name="oth12ACT">#REF!</definedName>
    <definedName name="othCYACT" localSheetId="10">#REF!</definedName>
    <definedName name="othCYACT">#REF!</definedName>
    <definedName name="othCYBUD" localSheetId="10">#REF!</definedName>
    <definedName name="othCYBUD">#REF!</definedName>
    <definedName name="othCYF" localSheetId="10">#REF!</definedName>
    <definedName name="othCYF">#REF!</definedName>
    <definedName name="OTHEND" localSheetId="10">#REF!</definedName>
    <definedName name="OTHEND">#REF!</definedName>
    <definedName name="other_costs" localSheetId="10">#REF!</definedName>
    <definedName name="other_costs">#REF!</definedName>
    <definedName name="OTHERBUD" localSheetId="10">#REF!</definedName>
    <definedName name="OTHERBUD">#REF!</definedName>
    <definedName name="othNYbud" localSheetId="10">#REF!</definedName>
    <definedName name="othNYbud">#REF!</definedName>
    <definedName name="othPYACT" localSheetId="10">#REF!</definedName>
    <definedName name="othPYACT">#REF!</definedName>
    <definedName name="OTHSTART" localSheetId="10">#REF!</definedName>
    <definedName name="OTHSTART">#REF!</definedName>
    <definedName name="_xlnm.Print_Area" localSheetId="9">'Account 1588'!$A$1:$L$77</definedName>
    <definedName name="_xlnm.Print_Area" localSheetId="8">'GA 2021'!$A$1:$L$93</definedName>
    <definedName name="_xlnm.Print_Area" localSheetId="2">'GA Analysis '!$A$12:$K$107</definedName>
    <definedName name="_xlnm.Print_Area" localSheetId="10">'Principal Adjustments'!$A$1:$X$166</definedName>
    <definedName name="print_end" localSheetId="10">#REF!</definedName>
    <definedName name="print_end">#REF!</definedName>
    <definedName name="RATE_CLASSES">[7]lists!$A$1:$A$104</definedName>
    <definedName name="ratebase">'[2]8. STS - Tax Change'!$N$19</definedName>
    <definedName name="ratedescription">[8]hidden1!$D$1:$D$122</definedName>
    <definedName name="RebaseYear">'[1]LDC Info'!$E$28</definedName>
    <definedName name="SALBENF" localSheetId="10">#REF!</definedName>
    <definedName name="SALBENF">#REF!</definedName>
    <definedName name="salreg" localSheetId="10">#REF!</definedName>
    <definedName name="salreg">#REF!</definedName>
    <definedName name="SALREGF" localSheetId="10">#REF!</definedName>
    <definedName name="SALREGF">#REF!</definedName>
    <definedName name="SME">'[2]17. Regulatory Charges'!$D$33</definedName>
    <definedName name="StartEnd" localSheetId="10">[2]Database!#REF!</definedName>
    <definedName name="StartEnd">[2]Database!#REF!</definedName>
    <definedName name="TEMPA" localSheetId="10">#REF!</definedName>
    <definedName name="TEMPA">#REF!</definedName>
    <definedName name="TestYear">'[1]LDC Info'!$E$24</definedName>
    <definedName name="total_dept" localSheetId="10">#REF!</definedName>
    <definedName name="total_dept">#REF!</definedName>
    <definedName name="total_manpower" localSheetId="10">#REF!</definedName>
    <definedName name="total_manpower">#REF!</definedName>
    <definedName name="total_material" localSheetId="10">#REF!</definedName>
    <definedName name="total_material">#REF!</definedName>
    <definedName name="total_other" localSheetId="10">#REF!</definedName>
    <definedName name="total_other">#REF!</definedName>
    <definedName name="total_transportation" localSheetId="10">#REF!</definedName>
    <definedName name="total_transportation">#REF!</definedName>
    <definedName name="TRANBUD" localSheetId="10">#REF!</definedName>
    <definedName name="TRANBUD">#REF!</definedName>
    <definedName name="TRANEND" localSheetId="10">#REF!</definedName>
    <definedName name="TRANEND">#REF!</definedName>
    <definedName name="transportation_costs" localSheetId="10">#REF!</definedName>
    <definedName name="transportation_costs">#REF!</definedName>
    <definedName name="TRANSTART" localSheetId="10">#REF!</definedName>
    <definedName name="TRANSTART">#REF!</definedName>
    <definedName name="trn_beg_bud" localSheetId="10">#REF!</definedName>
    <definedName name="trn_beg_bud">#REF!</definedName>
    <definedName name="trn_end_bud" localSheetId="10">#REF!</definedName>
    <definedName name="trn_end_bud">#REF!</definedName>
    <definedName name="trn12ACT" localSheetId="10">#REF!</definedName>
    <definedName name="trn12ACT">#REF!</definedName>
    <definedName name="trnCYACT" localSheetId="10">#REF!</definedName>
    <definedName name="trnCYACT">#REF!</definedName>
    <definedName name="trnCYBUD" localSheetId="10">#REF!</definedName>
    <definedName name="trnCYBUD">#REF!</definedName>
    <definedName name="trnCYF" localSheetId="10">#REF!</definedName>
    <definedName name="trnCYF">#REF!</definedName>
    <definedName name="trnNYbud" localSheetId="10">#REF!</definedName>
    <definedName name="trnNYbud">#REF!</definedName>
    <definedName name="trnPYACT" localSheetId="10">#REF!</definedName>
    <definedName name="trnPYACT">#REF!</definedName>
    <definedName name="Units1" localSheetId="10">[2]lists!#REF!</definedName>
    <definedName name="Units1">[2]lists!#REF!</definedName>
    <definedName name="Units2" localSheetId="10">[2]lists!#REF!</definedName>
    <definedName name="Units2">[2]lists!#REF!</definedName>
    <definedName name="Utility">[3]Financials!$A$1</definedName>
    <definedName name="utitliy1">[9]Financials!$A$1</definedName>
    <definedName name="WAGBENF" localSheetId="10">#REF!</definedName>
    <definedName name="WAGBENF">#REF!</definedName>
    <definedName name="wagdob" localSheetId="10">#REF!</definedName>
    <definedName name="wagdob">#REF!</definedName>
    <definedName name="wagdobf" localSheetId="10">#REF!</definedName>
    <definedName name="wagdobf">#REF!</definedName>
    <definedName name="wagreg" localSheetId="10">#REF!</definedName>
    <definedName name="wagreg">#REF!</definedName>
    <definedName name="wagregf" localSheetId="10">#REF!</definedName>
    <definedName name="wagregf">#REF!</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9" l="1"/>
  <c r="D35" i="9"/>
  <c r="H35" i="9"/>
  <c r="F35" i="9"/>
  <c r="E35" i="9"/>
  <c r="J19" i="21" l="1"/>
  <c r="C75" i="27"/>
  <c r="V23" i="21" l="1"/>
  <c r="V20" i="21"/>
  <c r="V19" i="21"/>
  <c r="H57" i="27" l="1"/>
  <c r="F19" i="28" l="1"/>
  <c r="E52" i="27"/>
  <c r="E51" i="27" l="1"/>
  <c r="D52" i="27" s="1"/>
  <c r="E50" i="27"/>
  <c r="D51" i="27" s="1"/>
  <c r="E49" i="27"/>
  <c r="E48" i="27"/>
  <c r="E47" i="27"/>
  <c r="D48" i="27"/>
  <c r="E46" i="27"/>
  <c r="E45" i="27"/>
  <c r="E44" i="27"/>
  <c r="E43" i="27"/>
  <c r="D44" i="27"/>
  <c r="E42" i="27"/>
  <c r="E41" i="27"/>
  <c r="D42" i="27" s="1"/>
  <c r="D43" i="27"/>
  <c r="D45" i="27"/>
  <c r="D46" i="27"/>
  <c r="D47" i="27"/>
  <c r="D49" i="27"/>
  <c r="D50" i="27"/>
  <c r="G35" i="9" l="1"/>
  <c r="I35" i="9" s="1"/>
  <c r="I34" i="9"/>
  <c r="H34" i="9"/>
  <c r="G34" i="9"/>
  <c r="F34" i="9"/>
  <c r="E34" i="9"/>
  <c r="D34" i="9"/>
  <c r="C34" i="9"/>
  <c r="I33" i="9"/>
  <c r="H33" i="9"/>
  <c r="G33" i="9"/>
  <c r="F33" i="9"/>
  <c r="E33" i="9"/>
  <c r="D33" i="9"/>
  <c r="C33" i="9"/>
  <c r="I32" i="9"/>
  <c r="H32" i="9"/>
  <c r="G32" i="9"/>
  <c r="F32" i="9"/>
  <c r="E32" i="9"/>
  <c r="D32" i="9"/>
  <c r="C32" i="9"/>
  <c r="I31" i="9"/>
  <c r="H31" i="9"/>
  <c r="G31" i="9"/>
  <c r="F31" i="9"/>
  <c r="E31" i="9"/>
  <c r="D31" i="9"/>
  <c r="C31" i="9"/>
  <c r="C90" i="32"/>
  <c r="E53" i="32"/>
  <c r="D53" i="32"/>
  <c r="C53" i="32"/>
  <c r="I52" i="32"/>
  <c r="G52" i="32"/>
  <c r="F52" i="32"/>
  <c r="J52" i="32" s="1"/>
  <c r="I51" i="32"/>
  <c r="G51" i="32"/>
  <c r="F51" i="32"/>
  <c r="J51" i="32" s="1"/>
  <c r="I50" i="32"/>
  <c r="J50" i="32" s="1"/>
  <c r="G50" i="32"/>
  <c r="F50" i="32"/>
  <c r="H50" i="32" s="1"/>
  <c r="J49" i="32"/>
  <c r="I49" i="32"/>
  <c r="G49" i="32"/>
  <c r="H49" i="32" s="1"/>
  <c r="F49" i="32"/>
  <c r="I48" i="32"/>
  <c r="H48" i="32"/>
  <c r="G48" i="32"/>
  <c r="F48" i="32"/>
  <c r="J48" i="32" s="1"/>
  <c r="K48" i="32" s="1"/>
  <c r="I47" i="32"/>
  <c r="G47" i="32"/>
  <c r="F47" i="32"/>
  <c r="J47" i="32" s="1"/>
  <c r="I46" i="32"/>
  <c r="J46" i="32" s="1"/>
  <c r="K46" i="32" s="1"/>
  <c r="G46" i="32"/>
  <c r="F46" i="32"/>
  <c r="H46" i="32" s="1"/>
  <c r="I45" i="32"/>
  <c r="G45" i="32"/>
  <c r="F45" i="32"/>
  <c r="J45" i="32" s="1"/>
  <c r="I44" i="32"/>
  <c r="G44" i="32"/>
  <c r="F44" i="32"/>
  <c r="J44" i="32" s="1"/>
  <c r="I43" i="32"/>
  <c r="G43" i="32"/>
  <c r="F43" i="32"/>
  <c r="J43" i="32" s="1"/>
  <c r="I42" i="32"/>
  <c r="G42" i="32"/>
  <c r="F42" i="32"/>
  <c r="H42" i="32" s="1"/>
  <c r="J41" i="32"/>
  <c r="I41" i="32"/>
  <c r="G41" i="32"/>
  <c r="H41" i="32" s="1"/>
  <c r="F41" i="32"/>
  <c r="D17" i="32"/>
  <c r="D16" i="32"/>
  <c r="D15" i="32"/>
  <c r="D14" i="32"/>
  <c r="D17" i="27"/>
  <c r="D16" i="27"/>
  <c r="D15" i="27"/>
  <c r="D14" i="27"/>
  <c r="I52" i="27"/>
  <c r="I51" i="27"/>
  <c r="I50" i="27"/>
  <c r="I49" i="27"/>
  <c r="I48" i="27"/>
  <c r="I47" i="27"/>
  <c r="I46" i="27"/>
  <c r="I45" i="27"/>
  <c r="I44" i="27"/>
  <c r="I43" i="27"/>
  <c r="I42" i="27"/>
  <c r="G31" i="32" l="1"/>
  <c r="I31" i="32" s="1"/>
  <c r="G32" i="32"/>
  <c r="I32" i="32" s="1"/>
  <c r="G33" i="32"/>
  <c r="I33" i="32" s="1"/>
  <c r="G34" i="32"/>
  <c r="I34" i="32" s="1"/>
  <c r="G35" i="32"/>
  <c r="I35" i="32" s="1"/>
  <c r="F15" i="32"/>
  <c r="D18" i="32"/>
  <c r="F18" i="32" s="1"/>
  <c r="F17" i="32"/>
  <c r="J42" i="32"/>
  <c r="H45" i="32"/>
  <c r="K45" i="32" s="1"/>
  <c r="F53" i="32"/>
  <c r="H57" i="32" s="1"/>
  <c r="I57" i="32" s="1"/>
  <c r="K57" i="32" s="1"/>
  <c r="K49" i="32"/>
  <c r="K42" i="32"/>
  <c r="K50" i="32"/>
  <c r="K43" i="32"/>
  <c r="J53" i="32"/>
  <c r="F16" i="32"/>
  <c r="H44" i="32"/>
  <c r="H52" i="32"/>
  <c r="K52" i="32" s="1"/>
  <c r="K41" i="32"/>
  <c r="H43" i="32"/>
  <c r="H47" i="32"/>
  <c r="K47" i="32" s="1"/>
  <c r="H51" i="32"/>
  <c r="K51" i="32" s="1"/>
  <c r="I41" i="27"/>
  <c r="G52" i="27"/>
  <c r="G51" i="27"/>
  <c r="G50" i="27"/>
  <c r="G49" i="27"/>
  <c r="G48" i="27"/>
  <c r="G47" i="27"/>
  <c r="G46" i="27"/>
  <c r="G45" i="27"/>
  <c r="G44" i="27"/>
  <c r="G43" i="27"/>
  <c r="G42" i="27"/>
  <c r="G41" i="27"/>
  <c r="I4" i="12"/>
  <c r="J4" i="12"/>
  <c r="I5" i="12"/>
  <c r="J5" i="12"/>
  <c r="I6" i="12"/>
  <c r="J6" i="12"/>
  <c r="I7" i="12"/>
  <c r="J7" i="12"/>
  <c r="I8" i="12"/>
  <c r="J8" i="12"/>
  <c r="I9" i="12"/>
  <c r="J9" i="12"/>
  <c r="I10" i="12"/>
  <c r="J10" i="12"/>
  <c r="I11" i="12"/>
  <c r="J11" i="12"/>
  <c r="I12" i="12"/>
  <c r="J12" i="12"/>
  <c r="I13" i="12"/>
  <c r="J13" i="12"/>
  <c r="I14" i="12"/>
  <c r="J14" i="12"/>
  <c r="I15" i="12"/>
  <c r="J15" i="12"/>
  <c r="H5" i="12"/>
  <c r="H6" i="12"/>
  <c r="H7" i="12"/>
  <c r="H8" i="12"/>
  <c r="H9" i="12"/>
  <c r="H10" i="12"/>
  <c r="H11" i="12"/>
  <c r="H12" i="12"/>
  <c r="H13" i="12"/>
  <c r="H14" i="12"/>
  <c r="H15" i="12"/>
  <c r="H4" i="12"/>
  <c r="K61" i="32" l="1"/>
  <c r="K63" i="32" s="1"/>
  <c r="H53" i="32"/>
  <c r="K44" i="32"/>
  <c r="K53" i="32" s="1"/>
  <c r="K60" i="32" s="1"/>
  <c r="C91" i="32" s="1"/>
  <c r="C92" i="32" s="1"/>
  <c r="C93" i="32" s="1"/>
  <c r="D93" i="32" s="1"/>
  <c r="F20" i="28"/>
  <c r="F18" i="28"/>
  <c r="F17" i="28"/>
  <c r="F16" i="28"/>
  <c r="F15" i="28"/>
  <c r="D18" i="27" l="1"/>
  <c r="I57" i="6"/>
  <c r="K57" i="6"/>
  <c r="C90" i="27" l="1"/>
  <c r="C90" i="26"/>
  <c r="C90" i="25"/>
  <c r="C90" i="24"/>
  <c r="C90" i="6"/>
  <c r="D20" i="28" l="1"/>
  <c r="C20" i="28"/>
  <c r="I42" i="26" l="1"/>
  <c r="I43" i="26"/>
  <c r="I44" i="26"/>
  <c r="I45" i="26"/>
  <c r="I46" i="26"/>
  <c r="I47" i="26"/>
  <c r="I48" i="26"/>
  <c r="I49" i="26"/>
  <c r="I50" i="26"/>
  <c r="I51" i="26"/>
  <c r="I52" i="26"/>
  <c r="I41" i="26"/>
  <c r="G42" i="26"/>
  <c r="G43" i="26"/>
  <c r="G44" i="26"/>
  <c r="G45" i="26"/>
  <c r="G46" i="26"/>
  <c r="G47" i="26"/>
  <c r="G48" i="26"/>
  <c r="G49" i="26"/>
  <c r="G50" i="26"/>
  <c r="G51" i="26"/>
  <c r="G52" i="26"/>
  <c r="G41" i="26"/>
  <c r="I42" i="25"/>
  <c r="I43" i="25"/>
  <c r="I44" i="25"/>
  <c r="I45" i="25"/>
  <c r="I46" i="25"/>
  <c r="I47" i="25"/>
  <c r="I48" i="25"/>
  <c r="I49" i="25"/>
  <c r="I50" i="25"/>
  <c r="I51" i="25"/>
  <c r="I52" i="25"/>
  <c r="I41" i="25"/>
  <c r="G42" i="25"/>
  <c r="G43" i="25"/>
  <c r="G44" i="25"/>
  <c r="G45" i="25"/>
  <c r="G46" i="25"/>
  <c r="G47" i="25"/>
  <c r="G48" i="25"/>
  <c r="G49" i="25"/>
  <c r="G50" i="25"/>
  <c r="G51" i="25"/>
  <c r="G52" i="25"/>
  <c r="G41" i="25"/>
  <c r="I42" i="24"/>
  <c r="I43" i="24"/>
  <c r="I44" i="24"/>
  <c r="I45" i="24"/>
  <c r="I46" i="24"/>
  <c r="I47" i="24"/>
  <c r="I48" i="24"/>
  <c r="I49" i="24"/>
  <c r="I50" i="24"/>
  <c r="I51" i="24"/>
  <c r="I52" i="24"/>
  <c r="I41" i="24"/>
  <c r="G42" i="24"/>
  <c r="G43" i="24"/>
  <c r="G44" i="24"/>
  <c r="G45" i="24"/>
  <c r="G46" i="24"/>
  <c r="G47" i="24"/>
  <c r="G48" i="24"/>
  <c r="G49" i="24"/>
  <c r="G50" i="24"/>
  <c r="G51" i="24"/>
  <c r="G52" i="24"/>
  <c r="G41" i="24"/>
  <c r="I42" i="6"/>
  <c r="I43" i="6"/>
  <c r="I44" i="6"/>
  <c r="I45" i="6"/>
  <c r="I46" i="6"/>
  <c r="I47" i="6"/>
  <c r="I48" i="6"/>
  <c r="I49" i="6"/>
  <c r="I50" i="6"/>
  <c r="I51" i="6"/>
  <c r="I52" i="6"/>
  <c r="I41" i="6"/>
  <c r="G42" i="6"/>
  <c r="G43" i="6"/>
  <c r="G44" i="6"/>
  <c r="G45" i="6"/>
  <c r="G46" i="6"/>
  <c r="G47" i="6"/>
  <c r="G48" i="6"/>
  <c r="G49" i="6"/>
  <c r="G50" i="6"/>
  <c r="G51" i="6"/>
  <c r="G52" i="6"/>
  <c r="G41" i="6"/>
  <c r="E15" i="28" l="1"/>
  <c r="G15" i="28" s="1"/>
  <c r="H15" i="28" s="1"/>
  <c r="E19" i="28" l="1"/>
  <c r="G19" i="28" s="1"/>
  <c r="E18" i="28"/>
  <c r="G18" i="28" s="1"/>
  <c r="E16" i="28"/>
  <c r="G16" i="28" s="1"/>
  <c r="H16" i="28" s="1"/>
  <c r="C46" i="9" l="1"/>
  <c r="H19" i="28"/>
  <c r="C45" i="9"/>
  <c r="H18" i="28"/>
  <c r="F15" i="27"/>
  <c r="D17" i="26"/>
  <c r="D16" i="26"/>
  <c r="D15" i="26"/>
  <c r="D14" i="26"/>
  <c r="D17" i="25"/>
  <c r="D16" i="25"/>
  <c r="D15" i="25"/>
  <c r="D14" i="25"/>
  <c r="D17" i="24"/>
  <c r="D16" i="24"/>
  <c r="D15" i="24"/>
  <c r="D14" i="24"/>
  <c r="E17" i="28"/>
  <c r="G17" i="28" s="1"/>
  <c r="H17" i="28" s="1"/>
  <c r="E53" i="27"/>
  <c r="D53" i="27"/>
  <c r="C53" i="27"/>
  <c r="F52" i="27"/>
  <c r="H52" i="27" s="1"/>
  <c r="F51" i="27"/>
  <c r="J51" i="27" s="1"/>
  <c r="F50" i="27"/>
  <c r="J50" i="27" s="1"/>
  <c r="F49" i="27"/>
  <c r="J49" i="27" s="1"/>
  <c r="F48" i="27"/>
  <c r="H48" i="27" s="1"/>
  <c r="F47" i="27"/>
  <c r="J47" i="27" s="1"/>
  <c r="F46" i="27"/>
  <c r="J46" i="27" s="1"/>
  <c r="F45" i="27"/>
  <c r="J45" i="27" s="1"/>
  <c r="F44" i="27"/>
  <c r="H44" i="27" s="1"/>
  <c r="F43" i="27"/>
  <c r="J43" i="27" s="1"/>
  <c r="F42" i="27"/>
  <c r="J42" i="27" s="1"/>
  <c r="F41" i="27"/>
  <c r="J41" i="27" s="1"/>
  <c r="E53" i="26"/>
  <c r="D53" i="26"/>
  <c r="C53" i="26"/>
  <c r="F52" i="26"/>
  <c r="H52" i="26" s="1"/>
  <c r="J51" i="26"/>
  <c r="F51" i="26"/>
  <c r="H51" i="26" s="1"/>
  <c r="J50" i="26"/>
  <c r="H50" i="26"/>
  <c r="F50" i="26"/>
  <c r="H49" i="26"/>
  <c r="F49" i="26"/>
  <c r="J49" i="26" s="1"/>
  <c r="F48" i="26"/>
  <c r="H48" i="26" s="1"/>
  <c r="J47" i="26"/>
  <c r="F47" i="26"/>
  <c r="H47" i="26" s="1"/>
  <c r="J46" i="26"/>
  <c r="H46" i="26"/>
  <c r="F46" i="26"/>
  <c r="H45" i="26"/>
  <c r="F45" i="26"/>
  <c r="J45" i="26" s="1"/>
  <c r="F44" i="26"/>
  <c r="J44" i="26" s="1"/>
  <c r="F43" i="26"/>
  <c r="H43" i="26" s="1"/>
  <c r="J42" i="26"/>
  <c r="H42" i="26"/>
  <c r="F42" i="26"/>
  <c r="H41" i="26"/>
  <c r="F41" i="26"/>
  <c r="J41" i="26" s="1"/>
  <c r="E53" i="25"/>
  <c r="D53" i="25"/>
  <c r="C53" i="25"/>
  <c r="F52" i="25"/>
  <c r="J52" i="25" s="1"/>
  <c r="F51" i="25"/>
  <c r="J51" i="25" s="1"/>
  <c r="J50" i="25"/>
  <c r="F50" i="25"/>
  <c r="H50" i="25" s="1"/>
  <c r="J49" i="25"/>
  <c r="H49" i="25"/>
  <c r="F49" i="25"/>
  <c r="F48" i="25"/>
  <c r="J48" i="25" s="1"/>
  <c r="H47" i="25"/>
  <c r="F47" i="25"/>
  <c r="J47" i="25" s="1"/>
  <c r="J46" i="25"/>
  <c r="F46" i="25"/>
  <c r="H46" i="25" s="1"/>
  <c r="H45" i="25"/>
  <c r="F45" i="25"/>
  <c r="J45" i="25" s="1"/>
  <c r="F44" i="25"/>
  <c r="J44" i="25" s="1"/>
  <c r="H43" i="25"/>
  <c r="F43" i="25"/>
  <c r="J43" i="25" s="1"/>
  <c r="J42" i="25"/>
  <c r="F42" i="25"/>
  <c r="H42" i="25" s="1"/>
  <c r="H41" i="25"/>
  <c r="F41" i="25"/>
  <c r="J41" i="25" s="1"/>
  <c r="F53" i="24"/>
  <c r="H57" i="24" s="1"/>
  <c r="I57" i="24" s="1"/>
  <c r="E53" i="24"/>
  <c r="D53" i="24"/>
  <c r="C53" i="24"/>
  <c r="F52" i="24"/>
  <c r="J52" i="24" s="1"/>
  <c r="F51" i="24"/>
  <c r="J51" i="24" s="1"/>
  <c r="J50" i="24"/>
  <c r="F50" i="24"/>
  <c r="H50" i="24" s="1"/>
  <c r="J49" i="24"/>
  <c r="H49" i="24"/>
  <c r="F49" i="24"/>
  <c r="F48" i="24"/>
  <c r="J48" i="24" s="1"/>
  <c r="F47" i="24"/>
  <c r="J47" i="24" s="1"/>
  <c r="J46" i="24"/>
  <c r="F46" i="24"/>
  <c r="H46" i="24" s="1"/>
  <c r="J45" i="24"/>
  <c r="H45" i="24"/>
  <c r="F45" i="24"/>
  <c r="F44" i="24"/>
  <c r="J44" i="24" s="1"/>
  <c r="F43" i="24"/>
  <c r="J43" i="24" s="1"/>
  <c r="J42" i="24"/>
  <c r="F42" i="24"/>
  <c r="H42" i="24" s="1"/>
  <c r="J41" i="24"/>
  <c r="H41" i="24"/>
  <c r="F41" i="24"/>
  <c r="H51" i="27" l="1"/>
  <c r="J48" i="27"/>
  <c r="H47" i="27"/>
  <c r="H43" i="27"/>
  <c r="H49" i="27"/>
  <c r="J44" i="27"/>
  <c r="K44" i="27" s="1"/>
  <c r="H45" i="27"/>
  <c r="K45" i="27" s="1"/>
  <c r="E20" i="28"/>
  <c r="G20" i="28" s="1"/>
  <c r="C47" i="9" s="1"/>
  <c r="C44" i="9"/>
  <c r="J43" i="26"/>
  <c r="K42" i="26"/>
  <c r="J52" i="27"/>
  <c r="H41" i="27"/>
  <c r="K41" i="27" s="1"/>
  <c r="K50" i="24"/>
  <c r="K43" i="27"/>
  <c r="K46" i="25"/>
  <c r="K47" i="25"/>
  <c r="K42" i="24"/>
  <c r="K45" i="26"/>
  <c r="K49" i="26"/>
  <c r="K47" i="27"/>
  <c r="K51" i="27"/>
  <c r="K46" i="26"/>
  <c r="K50" i="26"/>
  <c r="K45" i="25"/>
  <c r="K43" i="25"/>
  <c r="K49" i="25"/>
  <c r="K46" i="24"/>
  <c r="F17" i="27"/>
  <c r="F16" i="27"/>
  <c r="F18" i="27"/>
  <c r="D18" i="26"/>
  <c r="F16" i="26"/>
  <c r="D18" i="25"/>
  <c r="F18" i="25" s="1"/>
  <c r="D18" i="24"/>
  <c r="F18" i="24" s="1"/>
  <c r="F15" i="24"/>
  <c r="F17" i="24"/>
  <c r="F16" i="24"/>
  <c r="K49" i="27"/>
  <c r="K48" i="27"/>
  <c r="F53" i="27"/>
  <c r="H42" i="27"/>
  <c r="H46" i="27"/>
  <c r="K46" i="27" s="1"/>
  <c r="H50" i="27"/>
  <c r="K50" i="27" s="1"/>
  <c r="K43" i="26"/>
  <c r="K47" i="26"/>
  <c r="K51" i="26"/>
  <c r="K41" i="26"/>
  <c r="F53" i="26"/>
  <c r="H44" i="26"/>
  <c r="H53" i="26" s="1"/>
  <c r="F17" i="26"/>
  <c r="J48" i="26"/>
  <c r="K48" i="26" s="1"/>
  <c r="J52" i="26"/>
  <c r="K52" i="26" s="1"/>
  <c r="F15" i="26"/>
  <c r="K42" i="25"/>
  <c r="K41" i="25"/>
  <c r="J53" i="25"/>
  <c r="K50" i="25"/>
  <c r="H44" i="25"/>
  <c r="K44" i="25" s="1"/>
  <c r="H48" i="25"/>
  <c r="K48" i="25" s="1"/>
  <c r="H52" i="25"/>
  <c r="K52" i="25" s="1"/>
  <c r="F15" i="25"/>
  <c r="F53" i="25"/>
  <c r="F16" i="25"/>
  <c r="F17" i="25"/>
  <c r="H51" i="25"/>
  <c r="K51" i="25" s="1"/>
  <c r="K49" i="24"/>
  <c r="J53" i="24"/>
  <c r="K41" i="24"/>
  <c r="K45" i="24"/>
  <c r="H44" i="24"/>
  <c r="K44" i="24" s="1"/>
  <c r="H48" i="24"/>
  <c r="K48" i="24" s="1"/>
  <c r="H52" i="24"/>
  <c r="K52" i="24" s="1"/>
  <c r="H43" i="24"/>
  <c r="H47" i="24"/>
  <c r="K47" i="24" s="1"/>
  <c r="H51" i="24"/>
  <c r="K51" i="24" s="1"/>
  <c r="J53" i="27" l="1"/>
  <c r="K52" i="27"/>
  <c r="F18" i="26"/>
  <c r="K61" i="26"/>
  <c r="K61" i="24"/>
  <c r="K63" i="24" s="1"/>
  <c r="K44" i="26"/>
  <c r="K53" i="26" s="1"/>
  <c r="H53" i="27"/>
  <c r="J53" i="26"/>
  <c r="H53" i="24"/>
  <c r="K57" i="24" s="1"/>
  <c r="K42" i="27"/>
  <c r="I57" i="27"/>
  <c r="K61" i="27"/>
  <c r="K63" i="27" s="1"/>
  <c r="H57" i="26"/>
  <c r="I57" i="26" s="1"/>
  <c r="K57" i="26" s="1"/>
  <c r="H53" i="25"/>
  <c r="H57" i="25"/>
  <c r="I57" i="25" s="1"/>
  <c r="K61" i="25"/>
  <c r="K53" i="25"/>
  <c r="K43" i="24"/>
  <c r="K53" i="24" s="1"/>
  <c r="K53" i="27" l="1"/>
  <c r="K63" i="26"/>
  <c r="K63" i="25"/>
  <c r="K60" i="26"/>
  <c r="C91" i="26" s="1"/>
  <c r="K57" i="27"/>
  <c r="K57" i="25"/>
  <c r="K60" i="25" s="1"/>
  <c r="C91" i="25" s="1"/>
  <c r="K60" i="24"/>
  <c r="C91" i="24" s="1"/>
  <c r="K60" i="27" l="1"/>
  <c r="C91" i="27" s="1"/>
  <c r="C92" i="27" s="1"/>
  <c r="C93" i="27" s="1"/>
  <c r="D93" i="27" s="1"/>
  <c r="C92" i="26"/>
  <c r="C93" i="26" s="1"/>
  <c r="D93" i="26" s="1"/>
  <c r="C92" i="25"/>
  <c r="C93" i="25" s="1"/>
  <c r="D93" i="25" s="1"/>
  <c r="C92" i="24"/>
  <c r="C93" i="24" s="1"/>
  <c r="D93" i="24" s="1"/>
  <c r="V45" i="21"/>
  <c r="V46" i="21"/>
  <c r="V47" i="21"/>
  <c r="V48" i="21"/>
  <c r="V49" i="21"/>
  <c r="V50" i="21"/>
  <c r="V51" i="21"/>
  <c r="V44" i="21"/>
  <c r="J45" i="21"/>
  <c r="J46" i="21"/>
  <c r="J47" i="21"/>
  <c r="J48" i="21"/>
  <c r="J49" i="21"/>
  <c r="J50" i="21"/>
  <c r="J51" i="21"/>
  <c r="J44" i="21"/>
  <c r="O45" i="21" l="1"/>
  <c r="O46" i="21"/>
  <c r="O47" i="21"/>
  <c r="O48" i="21"/>
  <c r="O49" i="21"/>
  <c r="O50" i="21"/>
  <c r="O51" i="21"/>
  <c r="O44" i="21"/>
  <c r="C45" i="21"/>
  <c r="C46" i="21"/>
  <c r="C47" i="21"/>
  <c r="C48" i="21"/>
  <c r="C49" i="21"/>
  <c r="C50" i="21"/>
  <c r="C51" i="21"/>
  <c r="C44" i="21"/>
  <c r="V163" i="21" l="1"/>
  <c r="J163" i="21"/>
  <c r="V153" i="21"/>
  <c r="J153" i="21"/>
  <c r="V138" i="21"/>
  <c r="J138" i="21"/>
  <c r="V128" i="21"/>
  <c r="J128" i="21"/>
  <c r="V113" i="21"/>
  <c r="J113" i="21"/>
  <c r="V103" i="21"/>
  <c r="J103" i="21"/>
  <c r="V88" i="21"/>
  <c r="J88" i="21"/>
  <c r="V78" i="21"/>
  <c r="J78" i="21"/>
  <c r="J89" i="21" l="1"/>
  <c r="V164" i="21"/>
  <c r="J114" i="21"/>
  <c r="V139" i="21"/>
  <c r="V114" i="21"/>
  <c r="V89" i="21"/>
  <c r="J164" i="21"/>
  <c r="J139" i="21"/>
  <c r="V62" i="21" l="1"/>
  <c r="J62" i="21"/>
  <c r="J52" i="21"/>
  <c r="V27" i="21"/>
  <c r="V29" i="21" s="1"/>
  <c r="J27" i="21"/>
  <c r="J29" i="21" s="1"/>
  <c r="V52" i="21" l="1"/>
  <c r="V63" i="21" s="1"/>
  <c r="J63" i="21"/>
  <c r="T7" i="15" l="1"/>
  <c r="U7" i="15"/>
  <c r="T8" i="15"/>
  <c r="U8" i="15"/>
  <c r="T9" i="15"/>
  <c r="U9" i="15"/>
  <c r="T10" i="15"/>
  <c r="U10" i="15"/>
  <c r="T11" i="15"/>
  <c r="U11" i="15"/>
  <c r="T12" i="15"/>
  <c r="U12" i="15"/>
  <c r="T13" i="15"/>
  <c r="U13" i="15"/>
  <c r="T14" i="15"/>
  <c r="U14" i="15"/>
  <c r="T15" i="15"/>
  <c r="U15" i="15"/>
  <c r="T18" i="15"/>
  <c r="U18" i="15"/>
  <c r="T19" i="15"/>
  <c r="U19" i="15"/>
  <c r="T20" i="15"/>
  <c r="U20" i="15"/>
  <c r="T21" i="15"/>
  <c r="U21" i="15"/>
  <c r="T22" i="15"/>
  <c r="U22" i="15"/>
  <c r="T23" i="15"/>
  <c r="U23" i="15"/>
  <c r="T24" i="15"/>
  <c r="U24" i="15"/>
  <c r="T25" i="15"/>
  <c r="U25" i="15"/>
  <c r="T26" i="15"/>
  <c r="U26" i="15"/>
  <c r="T27" i="15"/>
  <c r="U27" i="15"/>
  <c r="T28" i="15"/>
  <c r="U28" i="15"/>
  <c r="T29" i="15"/>
  <c r="U29" i="15"/>
  <c r="T30" i="15"/>
  <c r="U30" i="15"/>
  <c r="T6" i="15"/>
  <c r="U6" i="15"/>
  <c r="T31" i="15"/>
  <c r="U31" i="15"/>
  <c r="T32" i="15"/>
  <c r="U32" i="15"/>
  <c r="T33" i="15"/>
  <c r="U33" i="15"/>
  <c r="T34" i="15"/>
  <c r="U34" i="15"/>
  <c r="T35" i="15"/>
  <c r="U35" i="15"/>
  <c r="T36" i="15"/>
  <c r="U36" i="15"/>
  <c r="T37" i="15"/>
  <c r="U37" i="15"/>
  <c r="T38" i="15"/>
  <c r="U38" i="15"/>
  <c r="T39" i="15"/>
  <c r="U39" i="15"/>
  <c r="T40" i="15"/>
  <c r="U40" i="15"/>
  <c r="T41" i="15"/>
  <c r="U41" i="15"/>
  <c r="T42" i="15"/>
  <c r="U42" i="15"/>
  <c r="T43" i="15"/>
  <c r="U43" i="15"/>
  <c r="T44" i="15"/>
  <c r="U44" i="15"/>
  <c r="T45" i="15"/>
  <c r="U45" i="15"/>
  <c r="T46" i="15"/>
  <c r="U46" i="15"/>
  <c r="T47" i="15"/>
  <c r="U47" i="15"/>
  <c r="T48" i="15"/>
  <c r="U48" i="15"/>
  <c r="T49" i="15"/>
  <c r="U49" i="15"/>
  <c r="T50" i="15"/>
  <c r="U50" i="15"/>
  <c r="T51" i="15"/>
  <c r="U51" i="15"/>
  <c r="T52" i="15"/>
  <c r="U52" i="15"/>
  <c r="T53" i="15"/>
  <c r="U53" i="15"/>
  <c r="T54" i="15"/>
  <c r="U54" i="15"/>
  <c r="T55" i="15"/>
  <c r="U55" i="15"/>
  <c r="T56" i="15"/>
  <c r="U56" i="15"/>
  <c r="T57" i="15"/>
  <c r="U57" i="15"/>
  <c r="T58" i="15"/>
  <c r="U58" i="15"/>
  <c r="T59" i="15"/>
  <c r="U59" i="15"/>
  <c r="T60" i="15"/>
  <c r="U60" i="15"/>
  <c r="T61" i="15"/>
  <c r="U61" i="15"/>
  <c r="T62" i="15"/>
  <c r="U62" i="15"/>
  <c r="T63" i="15"/>
  <c r="U63" i="15"/>
  <c r="T16" i="15"/>
  <c r="U16" i="15"/>
  <c r="T64" i="15"/>
  <c r="U64" i="15"/>
  <c r="T65" i="15"/>
  <c r="U65" i="15"/>
  <c r="T66" i="15"/>
  <c r="U66" i="15"/>
  <c r="T67" i="15"/>
  <c r="U67" i="15"/>
  <c r="T68" i="15"/>
  <c r="U68" i="15"/>
  <c r="T17" i="15"/>
  <c r="U17" i="15"/>
  <c r="U5" i="15"/>
  <c r="T5" i="15"/>
  <c r="D36" i="9" l="1"/>
  <c r="E36" i="9"/>
  <c r="F36" i="9" l="1"/>
  <c r="E53" i="6" l="1"/>
  <c r="D53" i="6"/>
  <c r="C53" i="6"/>
  <c r="F52" i="6"/>
  <c r="H52" i="6" s="1"/>
  <c r="F51" i="6"/>
  <c r="J51" i="6" s="1"/>
  <c r="F50" i="6"/>
  <c r="H50" i="6" s="1"/>
  <c r="F49" i="6"/>
  <c r="J49" i="6" s="1"/>
  <c r="F48" i="6"/>
  <c r="H48" i="6" s="1"/>
  <c r="F47" i="6"/>
  <c r="J47" i="6" s="1"/>
  <c r="F46" i="6"/>
  <c r="H46" i="6" s="1"/>
  <c r="F45" i="6"/>
  <c r="J45" i="6" s="1"/>
  <c r="F44" i="6"/>
  <c r="H44" i="6" s="1"/>
  <c r="F43" i="6"/>
  <c r="J43" i="6" s="1"/>
  <c r="F42" i="6"/>
  <c r="H42" i="6" s="1"/>
  <c r="F41" i="6"/>
  <c r="D16" i="6"/>
  <c r="J44" i="6" l="1"/>
  <c r="K44" i="6" s="1"/>
  <c r="J50" i="6"/>
  <c r="K50" i="6" s="1"/>
  <c r="F53" i="6"/>
  <c r="J46" i="6"/>
  <c r="K46" i="6" s="1"/>
  <c r="J52" i="6"/>
  <c r="K52" i="6" s="1"/>
  <c r="J42" i="6"/>
  <c r="K42" i="6" s="1"/>
  <c r="J48" i="6"/>
  <c r="K48" i="6" s="1"/>
  <c r="H41" i="6"/>
  <c r="H43" i="6"/>
  <c r="K43" i="6" s="1"/>
  <c r="H45" i="6"/>
  <c r="K45" i="6" s="1"/>
  <c r="H47" i="6"/>
  <c r="K47" i="6" s="1"/>
  <c r="H49" i="6"/>
  <c r="K49" i="6" s="1"/>
  <c r="H51" i="6"/>
  <c r="K51" i="6" s="1"/>
  <c r="D14" i="6"/>
  <c r="J41" i="6"/>
  <c r="G88" i="4"/>
  <c r="I88" i="4" s="1"/>
  <c r="F88" i="4"/>
  <c r="F89" i="4"/>
  <c r="G89" i="4" s="1"/>
  <c r="F90" i="4"/>
  <c r="G90" i="4" s="1"/>
  <c r="F91" i="4"/>
  <c r="G91" i="4" s="1"/>
  <c r="K61" i="6" l="1"/>
  <c r="K63" i="6" s="1"/>
  <c r="H57" i="6"/>
  <c r="F15" i="6"/>
  <c r="F17" i="6"/>
  <c r="F18" i="6"/>
  <c r="F16" i="6"/>
  <c r="H53" i="6"/>
  <c r="J53" i="6"/>
  <c r="K41" i="6"/>
  <c r="K53" i="6" s="1"/>
  <c r="G92" i="4"/>
  <c r="F47" i="4"/>
  <c r="J47" i="4" s="1"/>
  <c r="K60" i="6" l="1"/>
  <c r="C91" i="6" s="1"/>
  <c r="H36" i="9"/>
  <c r="H47" i="4"/>
  <c r="K47" i="4" s="1"/>
  <c r="D79" i="4"/>
  <c r="C92" i="6" l="1"/>
  <c r="C93" i="6" s="1"/>
  <c r="D93" i="6" s="1"/>
  <c r="G36" i="9"/>
  <c r="C36" i="9"/>
  <c r="F51" i="4"/>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<sst xmlns="http://schemas.openxmlformats.org/spreadsheetml/2006/main" count="1998" uniqueCount="488">
  <si>
    <t>MILTON HYDRO DISTRIBUTION INC.</t>
  </si>
  <si>
    <t>Year Selected</t>
  </si>
  <si>
    <t xml:space="preserve"> </t>
  </si>
  <si>
    <t>GA AJalysis Workform Summary</t>
  </si>
  <si>
    <t>Year</t>
  </si>
  <si>
    <t xml:space="preserve">Cumulative Balance </t>
  </si>
  <si>
    <t>ALECTRA UTILITIES CORPORATION</t>
  </si>
  <si>
    <t>ALECTRA UTILITIES - GUELPH</t>
  </si>
  <si>
    <t>ALGOMA POWER INC.</t>
  </si>
  <si>
    <t>ATIKOKAN HYDRO INC.</t>
  </si>
  <si>
    <t>BLUEWATER POWER DISTRIBUTION CORPORATION</t>
  </si>
  <si>
    <t>BRANTFORD POWER INC.</t>
  </si>
  <si>
    <t>BURLINGTON HYDRO INC.</t>
  </si>
  <si>
    <t>CANADIAN NIAGARA POWER INC.</t>
  </si>
  <si>
    <t>CENTRE WELLINGTON HYDRO LTD.</t>
  </si>
  <si>
    <t>CHAPLEAU PUBLIC UTILITIES CORPORATION</t>
  </si>
  <si>
    <t>COOPERATIVE HYDRO EMBRUN INC.</t>
  </si>
  <si>
    <t>ELEXICON ENERGY INC.-VERIDIAN RATE ZONE</t>
  </si>
  <si>
    <t>ELEXICON ENERGY INC.-WHITBY RATE ZONE</t>
  </si>
  <si>
    <t>E.L.K. ENERGY INC.</t>
  </si>
  <si>
    <t>ENERGY+ INC.</t>
  </si>
  <si>
    <t>ENTEGRUS POWERLINES INC.</t>
  </si>
  <si>
    <t>ENWIN UTILITIES LTD.</t>
  </si>
  <si>
    <t>EPCOR ELECTRICITY DISTRIBUTION ONTARIO INC.</t>
  </si>
  <si>
    <t>ERTH POWER CORPORATION - ERTH POWER MAIN RATE ZONE</t>
  </si>
  <si>
    <t>ERTH POWER CORPORATION – GODERICH RATE ZONE</t>
  </si>
  <si>
    <t>ESPANOLA REGIONAL HYDRO DISTRIBUTION CORPORATION</t>
  </si>
  <si>
    <t>ESSEX POWERLINES CORPORATION</t>
  </si>
  <si>
    <t>FESTIVAL HYDRO INC.</t>
  </si>
  <si>
    <t>FORT FRANCES POWER CORPORATION</t>
  </si>
  <si>
    <t>GREATER SUDBURY HYDRO INC.</t>
  </si>
  <si>
    <t>GRIMSBY POWER INCORPORATED</t>
  </si>
  <si>
    <t>HALTON HILLS HYDRO INC.</t>
  </si>
  <si>
    <t>HEARST POWER DISTRIBUTION CO. LTD.</t>
  </si>
  <si>
    <t>HYDRO 2000 INC.</t>
  </si>
  <si>
    <t>HYDRO HAWKESBURY INC.</t>
  </si>
  <si>
    <t>HYDRO ONE NETWORKS INC.</t>
  </si>
  <si>
    <t>HYDRO ONE REMOTE COMMUNITIES INC.</t>
  </si>
  <si>
    <t>HYDRO OTTAWA LIMITED</t>
  </si>
  <si>
    <t>INNPOWER CORPORATION</t>
  </si>
  <si>
    <t>KINGSTON HYDRO CORPORATION</t>
  </si>
  <si>
    <t>KITCHENER-WILMOT HYDRO INC.</t>
  </si>
  <si>
    <t>LAKEFRONT UTILITIES INC.</t>
  </si>
  <si>
    <t>LAKELAND POWER DISTRIBUTION LTD.</t>
  </si>
  <si>
    <t>LONDON HYDRO INC.</t>
  </si>
  <si>
    <t>NEWMARKET-TAY POWER DISTRIBUTION LTD.</t>
  </si>
  <si>
    <t>NIAGARA PENINSULA ENERGY INC.</t>
  </si>
  <si>
    <t>NIAGARA-ON-THE-LAKE HYDRO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</si>
  <si>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</si>
  <si>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</si>
  <si>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</si>
  <si>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</si>
  <si>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</si>
  <si>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</si>
  <si>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</si>
  <si>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</si>
  <si>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PUC DISTRIBUTION INC.</t>
  </si>
  <si>
    <t>RENFREW HYDRO INC.</t>
  </si>
  <si>
    <t>RIDEAU ST. LAWRENCE DISTRIBUTION INC.</t>
  </si>
  <si>
    <t>SIOUX LOOKOUT HYDRO INC.</t>
  </si>
  <si>
    <t>SYNERGY NORTH CORPORATION – KENORA RATE DISTRICT</t>
  </si>
  <si>
    <t>SYNERGY NORTH CORPORATION – THUNDER BAY RATE DISTRICT</t>
  </si>
  <si>
    <t>TILLSONBURG HYDRO INC.</t>
  </si>
  <si>
    <t>TORONTO HYDRO-ELECTRIC SYSTEM LIMITED</t>
  </si>
  <si>
    <t>WASAGA DISTRIBUTION INC.</t>
  </si>
  <si>
    <t>WATERLOO NORTH HYDRO INC.</t>
  </si>
  <si>
    <t>WELLAND HYDRO-ELECTRIC SYSTEM CORP.</t>
  </si>
  <si>
    <t>WELLINGTON NORTH POWER INC.</t>
  </si>
  <si>
    <t>WESTARIO POWER INC.</t>
  </si>
  <si>
    <t>Account 1589 Global Adjustment (GA) Analysis Workform</t>
  </si>
  <si>
    <t>Input cells</t>
  </si>
  <si>
    <t>Drop down cells</t>
  </si>
  <si>
    <t>Note 1</t>
  </si>
  <si>
    <t>Year(s) Requested for Disposition</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</si>
  <si>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</si>
  <si>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</si>
  <si>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</si>
  <si>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</si>
  <si>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</si>
  <si>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</si>
  <si>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</si>
  <si>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</si>
  <si>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</si>
  <si>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</si>
  <si>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</si>
  <si>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</si>
  <si>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</si>
  <si>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</si>
  <si>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</si>
  <si>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</si>
  <si>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</si>
  <si>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GA Billing Rate Description</t>
  </si>
  <si>
    <t>Note 4</t>
  </si>
  <si>
    <t>Analysis of Expected GA Amount</t>
  </si>
  <si>
    <t>GA Rates per IESO website</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</si>
  <si>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</si>
  <si>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</si>
  <si>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</si>
  <si>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</si>
  <si>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</si>
  <si>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</si>
  <si>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</si>
  <si>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</si>
  <si>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</si>
  <si>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Variance ($)</t>
  </si>
  <si>
    <t>F</t>
  </si>
  <si>
    <t>G</t>
  </si>
  <si>
    <t>H</t>
  </si>
  <si>
    <t>I = F-G+H</t>
  </si>
  <si>
    <t>J</t>
  </si>
  <si>
    <t>K = I*J</t>
  </si>
  <si>
    <t>L</t>
  </si>
  <si>
    <t>M = I*L</t>
  </si>
  <si>
    <t>=M-K</t>
  </si>
  <si>
    <t>($/kWh)</t>
  </si>
  <si>
    <t>First Estimate</t>
  </si>
  <si>
    <t>Second Estimate</t>
  </si>
  <si>
    <t>Actual</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</si>
  <si>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</si>
  <si>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</si>
  <si>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</si>
  <si>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</si>
  <si>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</si>
  <si>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</si>
  <si>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</si>
  <si>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</si>
  <si>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</si>
  <si>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</si>
  <si>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</si>
  <si>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</si>
  <si>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</si>
  <si>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 xml:space="preserve">Note 5 </t>
  </si>
  <si>
    <t xml:space="preserve">Reconciling Items </t>
  </si>
  <si>
    <t xml:space="preserve"> Item</t>
  </si>
  <si>
    <t>Applicability of Reconciling Item (Y/N)</t>
  </si>
  <si>
    <t>Amount (Quantify if it is a significant reconciling item)</t>
  </si>
  <si>
    <t>Explanation</t>
  </si>
  <si>
    <t xml:space="preserve"> Net Change in Principal Balance in the GL (i.e. Transactions in the Year)</t>
  </si>
  <si>
    <t>1a</t>
  </si>
  <si>
    <t>Remove impacts to GA from prior year RPP Settlement true up process that are booked in current year</t>
  </si>
  <si>
    <t>1b</t>
  </si>
  <si>
    <t>Add impacts to GA from current year RPP Settlement true up process that are booked in subsequent year</t>
  </si>
  <si>
    <t>2a</t>
  </si>
  <si>
    <t>Remove prior year end unbilled to actual revenue differences</t>
  </si>
  <si>
    <t>2b</t>
  </si>
  <si>
    <t>Add current year end unbilled to actual revenue differences</t>
  </si>
  <si>
    <t>3a</t>
  </si>
  <si>
    <t>Remove difference between prior year accrual to forecast from long term load transfers</t>
  </si>
  <si>
    <t>3b</t>
  </si>
  <si>
    <t>Add difference between current year accrual to forecast from long term load transfers</t>
  </si>
  <si>
    <t>Remove GA balances pertaining to Class A customers</t>
  </si>
  <si>
    <t>Significant prior period billing adjustments included in current year GL balance but would not be included in the billing consumption used in the GA Analysis</t>
  </si>
  <si>
    <t>Differences in GA IESO posted rate and rate charged on IESO invoice</t>
  </si>
  <si>
    <t>Note 6</t>
  </si>
  <si>
    <t>Adjusted Net Change in Principal Balance in the GL</t>
  </si>
  <si>
    <t>Net Change in Expected GA Balance in the Year Per Analysis</t>
  </si>
  <si>
    <t>Unresolved Difference</t>
  </si>
  <si>
    <t>Unresolved Difference as % of Expected GA Payments to IESO</t>
  </si>
  <si>
    <t xml:space="preserve">Note 7 </t>
  </si>
  <si>
    <t>Summary of GA  (if multiple years requested for disposition)</t>
  </si>
  <si>
    <t>Annual Net Change in Expected GA Balance from GA Analysis (cell K59)</t>
  </si>
  <si>
    <t xml:space="preserve"> Net Change in Principal Balance in the  GL (cell D65)</t>
  </si>
  <si>
    <t>Reconciling Items (sum of cells D66 to D78)</t>
  </si>
  <si>
    <t>Payments to IESO (cell J59)</t>
  </si>
  <si>
    <t>N/A</t>
  </si>
  <si>
    <t>Additional Notes and Comments</t>
  </si>
  <si>
    <t>Please confirm that the same GA rate is used to bill all customer classes. If not, please provide further details</t>
  </si>
  <si>
    <t>Please confirm that the GA Rate used for unbilled revenue is the same as the one used for billed revenue in any paticular month</t>
  </si>
  <si>
    <t>Expected GA Price Variance ($)</t>
  </si>
  <si>
    <t>N=M-K</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</si>
  <si>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</si>
  <si>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</si>
  <si>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</si>
  <si>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</si>
  <si>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</si>
  <si>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</si>
  <si>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</si>
  <si>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</si>
  <si>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</si>
  <si>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</si>
  <si>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</si>
  <si>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of the table above)</t>
  </si>
  <si>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</si>
  <si>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</si>
  <si>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</si>
  <si>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</si>
  <si>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</si>
  <si>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b) Please provide an explanation in the text box below if the difference in loss factor is greater than 1%</t>
  </si>
  <si>
    <t>Amount</t>
  </si>
  <si>
    <t>Principal Adjustments</t>
  </si>
  <si>
    <t>Principal Adjustment on DVA Continuity Schedule</t>
  </si>
  <si>
    <t>If "no", please provide an explanation</t>
  </si>
  <si>
    <t>CT 148 True-up of GA Charges based on Actual Non-RPP Volumes - prior year</t>
  </si>
  <si>
    <t>CT 148 True-up of GA Charges based on Actual Non-RPP Volumes - current year</t>
  </si>
  <si>
    <t>Remove difference between prior year accrual/forecast to actual from long term load transfers</t>
  </si>
  <si>
    <t>Add difference between current year accrual/forecast to actual from long term load transfers</t>
  </si>
  <si>
    <t>5a</t>
  </si>
  <si>
    <t>Significant prior period billing adjustments recorded in current year</t>
  </si>
  <si>
    <t>5b</t>
  </si>
  <si>
    <t>Significant current period billing adjustments recorded in other year(s)</t>
  </si>
  <si>
    <t>**Equal to annual Non-RPP Class B $ GA paid (i.e. non-RPP portion of CT 148 on IESO invoice) divided by Non-RPP Class B Wholesale kWh (as quantified in column O in the table above)</t>
  </si>
  <si>
    <t>Remove difference between prior year accrual/unbilled to actual from load transfers</t>
  </si>
  <si>
    <t>Add difference between current year accrual/unbilled to actual from load transfers</t>
  </si>
  <si>
    <t>4a</t>
  </si>
  <si>
    <t>4b</t>
  </si>
  <si>
    <t>CT 2148 for prior period corrections</t>
  </si>
  <si>
    <t>1st Estimate</t>
  </si>
  <si>
    <t>Note that the GA actual rates for April to June 2020 are based on the unadjusted GA rates, without the impacts of the GA deferral.</t>
  </si>
  <si>
    <r>
      <t xml:space="preserve">Please confirm that the adjusted GA rate was used to bill customers from April to June 2020. 
</t>
    </r>
    <r>
      <rPr>
        <sz val="11"/>
        <color theme="1"/>
        <rFont val="Arial"/>
        <family val="2"/>
      </rPr>
      <t>For the months of April to June 2020, the IESO provided adjusted GA rates, which reflected the deferral of a portion of the GA as per the May 1, 2020 Emergency Order, and unadjusted GA rates which did not consider the GA deferral.</t>
    </r>
  </si>
  <si>
    <t>GA Rate Billed  ($/kWh) *</t>
  </si>
  <si>
    <t>GA Actual Rate Paid ($/kWh) *</t>
  </si>
  <si>
    <t>* - GA Rates Is inclusive of the GA Recoveries in 2021 related to the GA Deferral that took plan from April to June 2020.</t>
  </si>
  <si>
    <t>Annual Non-RPP Class B Retail billed kWh (excludes April to June 2020)</t>
  </si>
  <si>
    <t xml:space="preserve">Impacts of GA deferral </t>
  </si>
  <si>
    <t>Yes</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</si>
  <si>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</si>
  <si>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</si>
  <si>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</si>
  <si>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</si>
  <si>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</si>
  <si>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</si>
  <si>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</si>
  <si>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</si>
  <si>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</si>
  <si>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</si>
  <si>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</si>
  <si>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</si>
  <si>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</si>
  <si>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</si>
  <si>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Note 8</t>
  </si>
  <si>
    <t>Breakdown of principal adjustments included in last approved balance:</t>
  </si>
  <si>
    <t>Account 1589 - RSVA Global Adjustment</t>
  </si>
  <si>
    <t>Adjustment Description</t>
  </si>
  <si>
    <t>To be reversed in current application?</t>
  </si>
  <si>
    <t>Explanation if not to be reversed in current application</t>
  </si>
  <si>
    <t>To be Reversed in Current Application?</t>
  </si>
  <si>
    <t xml:space="preserve">CT 148 true-up of GA Charges based on actual RPP volumes </t>
  </si>
  <si>
    <t>CT 1142/142 true-up based on actuals</t>
  </si>
  <si>
    <t>Total</t>
  </si>
  <si>
    <t>Total principal adjustments included in last approved balance</t>
  </si>
  <si>
    <t>Note 9</t>
  </si>
  <si>
    <t>Principal adjustment reconciliation in current application:</t>
  </si>
  <si>
    <t>1) The "Transaction" column in the DVA Continuity Schedule is to equal the transactions in the general ledger (excluding transactions relating to the removal of approved disposition amounts as that is shown in a separate column in the DVA Continuity Schedule)</t>
  </si>
  <si>
    <t>2) Any principal adjustments needed to adjust the transactions in the general ledger to the amount that should be requested for disposition should be shown separately in the "Principal Adjustments" column of the DVA Continuity Schedule</t>
  </si>
  <si>
    <t>3) The "Variance RRR vs. 2020 Balance" column in the DVA Continuity Schedule should equal principal adjustments made in the current disposition period. It should not be impacted by reversals from prior year approved principal adjustments.</t>
  </si>
  <si>
    <t>4) Principal adjustments to the pro-ration of CT 148 true-ups (i.e. principal adjustment #1 in tables below) are expected to be equal and offsetting between Account 1588 and Account 1589, if not, please explain. If this results in further adjustments to RPP settlements, this should be shown separately as a principal adjustment to CT 1142/142 (i.e. principal adjustment #2 in tables below)</t>
  </si>
  <si>
    <t>Complete the table below for the current disposition period. Complete a table for each year included in the balance under review in this rate application. The number of tables to be completed is automatically generated based on data provided in the Information Sheet</t>
  </si>
  <si>
    <t>Year Recorded in GL</t>
  </si>
  <si>
    <t>Reversals of prior approved principal adjustments (auto-populated from table above)</t>
  </si>
  <si>
    <t>Total Reversal Principal Adjustments</t>
  </si>
  <si>
    <t>Current year principal adjustments</t>
  </si>
  <si>
    <t xml:space="preserve">CT 148 true-up of GA Charges based on actual Non-RPP volumes </t>
  </si>
  <si>
    <t>Unbilled to actual revenue differences</t>
  </si>
  <si>
    <t>Total Current Year Principal Adjustments</t>
  </si>
  <si>
    <t>Total Principal Adjustments to be Included on DVA Continuity Schedule/Tab 3 - IRM Rate Generator Model</t>
  </si>
  <si>
    <t xml:space="preserve">Reversals of prior year principal adjustments </t>
  </si>
  <si>
    <t>Reversal of prior year CT-148 true-up of GA Charges based on actual Non-RPP volumes</t>
  </si>
  <si>
    <t xml:space="preserve">Reversal of CT 148 true-up of GA Charges based on actual RPP volumes </t>
  </si>
  <si>
    <t>Reversal of Unbilled to actual revenue differences</t>
  </si>
  <si>
    <t>Reversal of CT 1142/142 true-up based on actuals</t>
  </si>
  <si>
    <t>Reversal of CT 1142 true-up based on actuals</t>
  </si>
  <si>
    <t>CT 1142 true-up based on actuals</t>
  </si>
  <si>
    <t>1st Estimate GA Recovery Rate</t>
  </si>
  <si>
    <t>2nd Estimate GA Recovery Rate</t>
  </si>
  <si>
    <t>Actual GA Recovery Rate</t>
  </si>
  <si>
    <t>First Estimate GA Rate</t>
  </si>
  <si>
    <t>Second Estimate GA Rate</t>
  </si>
  <si>
    <t>Actual GA Rate</t>
  </si>
  <si>
    <t>Account 4705</t>
  </si>
  <si>
    <t>Time run: 7/21/2021 5:06:40 PM</t>
  </si>
  <si>
    <t>Company Name</t>
  </si>
  <si>
    <t>Licence Number</t>
  </si>
  <si>
    <t>January 1, 2016 - December 31, 2016</t>
  </si>
  <si>
    <t>January 1, 2017 - December 31, 2017</t>
  </si>
  <si>
    <t>January 1, 2018 - December 31, 2018</t>
  </si>
  <si>
    <t>January 1, 2019 - December 31, 2019</t>
  </si>
  <si>
    <t>January 1, 2020 - December 31, 2020</t>
  </si>
  <si>
    <t>January 1, 2021 - December 31, 2021</t>
  </si>
  <si>
    <t>Alectra Utilities Corporation</t>
  </si>
  <si>
    <t>ED-2016-0360</t>
  </si>
  <si>
    <t>Algoma Power Inc.</t>
  </si>
  <si>
    <t>ED-2009-0072</t>
  </si>
  <si>
    <t>Atikokan Hydro Inc.</t>
  </si>
  <si>
    <t>ED-2003-0001</t>
  </si>
  <si>
    <t>Bluewater Power Distribution Corporation</t>
  </si>
  <si>
    <t>ED-2002-0517</t>
  </si>
  <si>
    <t>Brantford Power Inc.</t>
  </si>
  <si>
    <t>ED-2003-0060</t>
  </si>
  <si>
    <t>Burlington Hydro Inc.</t>
  </si>
  <si>
    <t>ED-2003-0004</t>
  </si>
  <si>
    <t>Canadian Niagara Power Inc.</t>
  </si>
  <si>
    <t>ED-2002-0572</t>
  </si>
  <si>
    <t>Centre Wellington Hydro Ltd.</t>
  </si>
  <si>
    <t>ED-2002-0498</t>
  </si>
  <si>
    <t>Chapleau Public Utilities Corporation</t>
  </si>
  <si>
    <t>ED-2002-0528</t>
  </si>
  <si>
    <t>Cooperative Hydro Embrun Inc.</t>
  </si>
  <si>
    <t>ED-2002-0493</t>
  </si>
  <si>
    <t>Cornwall Street Railway Light and Power Company Limited</t>
  </si>
  <si>
    <t>ED-2004-0405</t>
  </si>
  <si>
    <t>E.L.K. Energy Inc.</t>
  </si>
  <si>
    <t>ED-2003-0015</t>
  </si>
  <si>
    <t>ENWIN Utilities Ltd.</t>
  </si>
  <si>
    <t>ED-2002-0527</t>
  </si>
  <si>
    <t>EPCOR Electricity Distribution Ontario Inc.</t>
  </si>
  <si>
    <t>ED-2002-0518</t>
  </si>
  <si>
    <t>ERTH Power Corporation</t>
  </si>
  <si>
    <t>ED-2002-0516</t>
  </si>
  <si>
    <t>Elexicon Energy Inc.</t>
  </si>
  <si>
    <t>ED-2019-0128</t>
  </si>
  <si>
    <t>Energy Plus Inc.</t>
  </si>
  <si>
    <t>ED-2002-0574</t>
  </si>
  <si>
    <t>Enersource Hydro Mississauga Inc.</t>
  </si>
  <si>
    <t>ED-2003-0017</t>
  </si>
  <si>
    <t>Entegrus Powerlines Inc.</t>
  </si>
  <si>
    <t>ED-2002-0563</t>
  </si>
  <si>
    <t>Espanola Regional Hydro Distribution Corporation</t>
  </si>
  <si>
    <t>ED-2002-0502</t>
  </si>
  <si>
    <t>Essex Powerlines Corporation</t>
  </si>
  <si>
    <t>ED-2002-0499</t>
  </si>
  <si>
    <t>Festival Hydro Inc.</t>
  </si>
  <si>
    <t>ED-2002-0513</t>
  </si>
  <si>
    <t>Fort Frances Power Corporation</t>
  </si>
  <si>
    <t>ED-2003-0028</t>
  </si>
  <si>
    <t>Greater Sudbury Hydro Inc.</t>
  </si>
  <si>
    <t>ED-2002-0559</t>
  </si>
  <si>
    <t>Grimsby Power Incorporated</t>
  </si>
  <si>
    <t>ED-2002-0554</t>
  </si>
  <si>
    <t>Guelph Hydro Electric Systems Inc.</t>
  </si>
  <si>
    <t>ED-2002-0565</t>
  </si>
  <si>
    <t>Haldimand County Hydro Inc.</t>
  </si>
  <si>
    <t>ED-2002-0539</t>
  </si>
  <si>
    <t>Halton Hills Hydro Inc.</t>
  </si>
  <si>
    <t>ED-2002-0552</t>
  </si>
  <si>
    <t>Hearst Power Distribution Company Limited</t>
  </si>
  <si>
    <t>ED-2002-0533</t>
  </si>
  <si>
    <t>Horizon Utilities Corporation</t>
  </si>
  <si>
    <t>ED-2006-0031</t>
  </si>
  <si>
    <t>Hydro 2000 Inc.</t>
  </si>
  <si>
    <t>ED-2002-0542</t>
  </si>
  <si>
    <t>Hydro Hawkesbury Inc.</t>
  </si>
  <si>
    <t>ED-2003-0027</t>
  </si>
  <si>
    <t>Hydro One Brampton Networks Inc.</t>
  </si>
  <si>
    <t>ED-2003-0038</t>
  </si>
  <si>
    <t>Hydro One Networks Inc.</t>
  </si>
  <si>
    <t>ED-2003-0043</t>
  </si>
  <si>
    <t>Hydro One Networks Inc. (Orillia-Peterborough service areas)</t>
  </si>
  <si>
    <t>ED-2002-0530</t>
  </si>
  <si>
    <t>Hydro One Networks Inc. - 1937680 Ontario Inc. (Peterborough Distribution)</t>
  </si>
  <si>
    <t>ED-2002-0504</t>
  </si>
  <si>
    <t>Hydro One Remote Communities Inc.</t>
  </si>
  <si>
    <t>ED-2003-0037</t>
  </si>
  <si>
    <t>Hydro Ottawa Limited</t>
  </si>
  <si>
    <t>ED-2002-0556</t>
  </si>
  <si>
    <t>Innpower Corporation</t>
  </si>
  <si>
    <t>ED-2002-0520</t>
  </si>
  <si>
    <t>Kenora Hydro Electric Corporation Ltd.</t>
  </si>
  <si>
    <t>ED-2003-0030</t>
  </si>
  <si>
    <t>Kingston Hydro Corporation</t>
  </si>
  <si>
    <t>ED-2003-0057</t>
  </si>
  <si>
    <t>Kitchener-Wilmot Hydro Inc.</t>
  </si>
  <si>
    <t>ED-2002-0573</t>
  </si>
  <si>
    <t>Lakefront Utilities Inc.</t>
  </si>
  <si>
    <t>ED-2002-0545</t>
  </si>
  <si>
    <t>Lakeland Power Distribution Ltd.</t>
  </si>
  <si>
    <t>ED-2002-0540</t>
  </si>
  <si>
    <t>London Hydro Inc.</t>
  </si>
  <si>
    <t>ED-2002-0557</t>
  </si>
  <si>
    <t>Midland Power Utility Corporation</t>
  </si>
  <si>
    <t>ED-2002-0541</t>
  </si>
  <si>
    <t>Milton Hydro Distribution Inc.</t>
  </si>
  <si>
    <t>ED-2003-0014</t>
  </si>
  <si>
    <t>Newmarket-Tay Power Distribution Ltd.</t>
  </si>
  <si>
    <t>ED-2007-0624</t>
  </si>
  <si>
    <t>Niagara Peninsula Energy Inc.</t>
  </si>
  <si>
    <t>ED-2007-0749</t>
  </si>
  <si>
    <t>Niagara-on-the-Lake Hydro Inc.</t>
  </si>
  <si>
    <t>ED-2002-0547</t>
  </si>
  <si>
    <t>North Bay Hydro Distribution Limited</t>
  </si>
  <si>
    <t>ED-2003-0024</t>
  </si>
  <si>
    <t>Northern Ontario Wires Inc.</t>
  </si>
  <si>
    <t>ED-2003-0018</t>
  </si>
  <si>
    <t>Oakville Hydro Electricity Distribution Inc.</t>
  </si>
  <si>
    <t>ED-2003-0135</t>
  </si>
  <si>
    <t>Orangeville Hydro Limited</t>
  </si>
  <si>
    <t>ED-2002-0500</t>
  </si>
  <si>
    <t>Oshawa PUC Networks Inc.</t>
  </si>
  <si>
    <t>ED-2002-0560</t>
  </si>
  <si>
    <t>Ottawa River Power Corporation</t>
  </si>
  <si>
    <t>ED-2003-0033</t>
  </si>
  <si>
    <t>PUC Distribution Inc.</t>
  </si>
  <si>
    <t>ED-2002-0546</t>
  </si>
  <si>
    <t>PowerStream Inc.</t>
  </si>
  <si>
    <t>ED-2004-0420</t>
  </si>
  <si>
    <t>Renfrew Hydro Inc.</t>
  </si>
  <si>
    <t>ED-2002-0577</t>
  </si>
  <si>
    <t>Rideau St. Lawrence Distribution Inc.</t>
  </si>
  <si>
    <t>ED-2003-0003</t>
  </si>
  <si>
    <t>Sioux Lookout Hydro Inc.</t>
  </si>
  <si>
    <t>ED-2002-0514</t>
  </si>
  <si>
    <t>St. Thomas Energy Inc.</t>
  </si>
  <si>
    <t>ED-2002-0523</t>
  </si>
  <si>
    <t>Synergy North Corporation</t>
  </si>
  <si>
    <t>ED-2018-0233</t>
  </si>
  <si>
    <t>Thunder Bay Hydro Electricity Distribution Inc.</t>
  </si>
  <si>
    <t>ED-2002-0529</t>
  </si>
  <si>
    <t>Tillsonburg Hydro Inc.</t>
  </si>
  <si>
    <t>ED-2003-0026</t>
  </si>
  <si>
    <t>Toronto Hydro-Electric System Limited</t>
  </si>
  <si>
    <t>ED-2002-0497</t>
  </si>
  <si>
    <t>Veridian Connections Inc.</t>
  </si>
  <si>
    <t>ED-2002-0503</t>
  </si>
  <si>
    <t>Wasaga Distribution Inc.</t>
  </si>
  <si>
    <t>ED-2002-0544</t>
  </si>
  <si>
    <t>Waterloo North Hydro Inc.</t>
  </si>
  <si>
    <t>ED-2002-0575</t>
  </si>
  <si>
    <t>Welland Hydro-Electric System Corp.</t>
  </si>
  <si>
    <t>ED-2003-0002</t>
  </si>
  <si>
    <t>Wellington North Power Inc.</t>
  </si>
  <si>
    <t>ED-2002-0511</t>
  </si>
  <si>
    <t>West Coast Huron Energy Inc.</t>
  </si>
  <si>
    <t>ED-2002-0510</t>
  </si>
  <si>
    <t>Westario Power Inc.</t>
  </si>
  <si>
    <t>ED-2002-0515</t>
  </si>
  <si>
    <t>Whitby Hydro Electric Corporation</t>
  </si>
  <si>
    <t>ED-2002-0571</t>
  </si>
  <si>
    <t>2.1.5 TotalConsumptionData_Dist_Ret_Total_Combined_Without RateClass_2018</t>
  </si>
  <si>
    <t>Time run: 5/29/2018 3:56:03 PM</t>
  </si>
  <si>
    <t>H + F + J</t>
  </si>
  <si>
    <t>F + J</t>
  </si>
  <si>
    <t>Filing_Year</t>
  </si>
  <si>
    <t>Company_Name</t>
  </si>
  <si>
    <t>Ret_Metered_consumption_in_kWhs</t>
  </si>
  <si>
    <t>Ret_Metered_consumption_in_kWs</t>
  </si>
  <si>
    <t>Dist_RPPMeterCustkWh</t>
  </si>
  <si>
    <t>Dist_RPPMeterCustkW</t>
  </si>
  <si>
    <t>Dist_NonRPPMeterCustkWh</t>
  </si>
  <si>
    <t>Dist_NonRPPMeterCustkW</t>
  </si>
  <si>
    <t>IESOMeterCustkWh</t>
  </si>
  <si>
    <t>IESOMeterCustKW</t>
  </si>
  <si>
    <t>Class_A_Consumption_kWhs</t>
  </si>
  <si>
    <t>Class_A_Consumption_kWs</t>
  </si>
  <si>
    <t>TotConsmptionforDistCustkWh</t>
  </si>
  <si>
    <t>TotConsmptionforDistCustkW</t>
  </si>
  <si>
    <t>Calculated_TOTAL_KWH</t>
  </si>
  <si>
    <t>Calculated_TOTAL_KW</t>
  </si>
  <si>
    <t>Total Metered Excluding WMP</t>
  </si>
  <si>
    <t>2018</t>
  </si>
  <si>
    <t>(this is St. thomas and entegrus combined)</t>
  </si>
  <si>
    <t>(this is midland and NT combined)</t>
  </si>
  <si>
    <t/>
  </si>
  <si>
    <t>2.1.5 TotalConsumptionData_Dist_Ret_Total_Combined_Without RateClass_2019_v2</t>
  </si>
  <si>
    <t>Time run: 6/25/2019 2:37:25 PM</t>
  </si>
  <si>
    <t>2019</t>
  </si>
  <si>
    <t>2.1.5 TotalConsumptionData_Dist_Ret_Total_Combined_Without RateClass_2020_v2</t>
  </si>
  <si>
    <t>Time run: 8/10/2020 4:46:09 PM</t>
  </si>
  <si>
    <t>2020</t>
  </si>
  <si>
    <t>ELEXICON ENERGY INC.</t>
  </si>
  <si>
    <t>ERTH POWER CORPORATION</t>
  </si>
  <si>
    <t>SYNERGY NORTH CORPORATION</t>
  </si>
  <si>
    <t>Time run: 6/16/2021 4:49:12 PM</t>
  </si>
  <si>
    <t>2021</t>
  </si>
  <si>
    <t>1937680 ONTARIO INC.</t>
  </si>
  <si>
    <t>CORNWALL STREET RAILWAY LIGHT AND POWER COMPANY LIMITED</t>
  </si>
  <si>
    <t>Correction Oakville Glenorchy GA Rate Rider coded to WMS is error</t>
  </si>
  <si>
    <t>Current year Accrual for GA True-up</t>
  </si>
  <si>
    <t>Current year accrual for SOP/Microfit timing differences</t>
  </si>
  <si>
    <t>Correction to Oakville Glenorchy electiricity losses</t>
  </si>
  <si>
    <t>Correction to coding IESO Charge Code 102 - from Energy to WMS</t>
  </si>
  <si>
    <t>Correction of Oakville Glenorchy GA Rate rider allocated to WMS</t>
  </si>
  <si>
    <t>Correction adjustment recorded in G/L in 2021</t>
  </si>
  <si>
    <t>True up from prior year reversed in 2021</t>
  </si>
  <si>
    <t>Current period post year-end final true-up RPP/non-RPP reallocation</t>
  </si>
  <si>
    <t xml:space="preserve">Utility Name   </t>
  </si>
  <si>
    <t>Annual Net Change in Expected GA Balance from GA Analysis</t>
  </si>
  <si>
    <t xml:space="preserve"> Net Change in Principal Balance in the GL</t>
  </si>
  <si>
    <t xml:space="preserve">$ Consumption at Actual Rate Paid </t>
  </si>
  <si>
    <t>Version 1.0</t>
  </si>
  <si>
    <t>Account 1588 as a % of Account 4705</t>
  </si>
  <si>
    <t>For Account 1589 and Account 1588, determine if a or b below applies and select the appropriate year related to the account balance in the drop-down box to the right.</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</si>
  <si>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</si>
  <si>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</si>
  <si>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</si>
  <si>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</si>
  <si>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2019 balances that were reviewed in the 2021 rate application were to be selected, select 2019)</t>
  </si>
  <si>
    <t>Instructions:
1) Determine which scenario above applies (a, bi or bii). Select the appropriate year to generate the appropriate GA Analysis Workform tabs, and information in the Principal Adjustments tab and Account 1588 tab.
For example:
     • Scenario a -If 2019 balances were last approved on a final basis - Select 2019 and a GA Analysis Workform for 2020 will be generated. The input cells required in the Principal Adjustment and Account 1588 tabs will be generated accordingly as well.  
     • Scenario bi - If 2019 balances were last approved on an interim basis and there are no changes to 2019 balances - Select 2019 and a GA Analysis Workform for 2020 will be generated. The input cells required in the Principal Adjustment and Account 1588 tabs will be generated accordingly as well.  
     • Scenario bii - If 2019 balances were last approved on an interim basis, there are changes to 2019 balances, and 2018 balances were last approved for disposition - Select 2018 and GA Analysis Workforms for 2019 and 2020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</si>
  <si>
    <t>Account 1588 Reconciliation Summary</t>
  </si>
  <si>
    <t>True-up for 2016 to 2020 period recorded in G/L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</si>
</sst>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00_);_(* \(#,##0.00\);_(* &quot;-&quot;??_);_(@_)"/>
    <numFmt numFmtId="165" formatCode="0.0%"/>
    <numFmt numFmtId="166" formatCode="_-&quot;$&quot;* #,##0_-;\-&quot;$&quot;* #,##0_-;_-&quot;$&quot;* &quot;-&quot;??_-;_-@_-"/>
    <numFmt numFmtId="167" formatCode="0.00000"/>
    <numFmt numFmtId="168" formatCode="_-* #,##0_-;\-* #,##0_-;_-* &quot;-&quot;??_-;_-@_-"/>
    <numFmt numFmtId="169" formatCode="0.0000"/>
    <numFmt numFmtId="170" formatCode="_-&quot;$&quot;* #,##0_-;_-&quot;$&quot;* \(#,##0\)_-;_-&quot;$&quot;* &quot;-&quot;??_-;_-@_-"/>
    <numFmt numFmtId="171" formatCode="_-* #,##0_-;_-* \(#,##0\)_-;_-* &quot;-&quot;??_-;_-@_-"/>
    <numFmt numFmtId="172" formatCode="_(* #,##0_);_(* \(#,##0\);_(* &quot;-&quot;??_);_(@_)"/>
    <numFmt numFmtId="173" formatCode="0.000%"/>
  </numFmts>
  <fonts count="2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sz val="11"/>
      <color rgb="FFFF0000"/>
      <name val="Arial"/>
      <family val="2"/>
    </font>
    <font>
      <b/>
      <u/>
      <sz val="11"/>
      <color rgb="FFFF0000"/>
      <name val="Arial"/>
      <family val="2"/>
    </font>
    <font>
      <sz val="8"/>
      <color theme="1"/>
      <name val="Calibri"/>
      <family val="2"/>
    </font>
    <font>
      <b/>
      <sz val="10"/>
      <color rgb="FF333399"/>
      <name val="Calibri"/>
      <family val="2"/>
    </font>
    <font>
      <sz val="8"/>
      <color rgb="FF333399"/>
      <name val="Calibri"/>
      <family val="2"/>
    </font>
    <font>
      <b/>
      <sz val="11"/>
      <color theme="1"/>
      <name val="Calibri"/>
      <family val="2"/>
      <scheme val="minor"/>
    </font>
    <font>
      <i/>
      <sz val="11"/>
      <color theme="1"/>
      <name val="Arial"/>
      <family val="2"/>
    </font>
    <font>
      <sz val="11"/>
      <color theme="1"/>
      <name val="Calibri"/>
      <family val="2"/>
    </font>
    <font>
      <b/>
      <sz val="10"/>
      <color theme="1"/>
      <name val="Calibri"/>
      <family val="2"/>
    </font>
    <font>
      <sz val="11"/>
      <name val="Calibri"/>
      <family val="2"/>
      <scheme val="minor"/>
    </font>
    <font>
      <b/>
      <sz val="11"/>
      <color rgb="FFFF0000"/>
      <name val="Arial"/>
      <family val="2"/>
    </font>
    <font>
      <b/>
      <vertAlign val="superscript"/>
      <sz val="12"/>
      <color theme="1"/>
      <name val="Arial"/>
      <family val="2"/>
    </font>
    <font>
      <b/>
      <vertAlign val="superscript"/>
      <sz val="11"/>
      <color theme="1"/>
      <name val="Arial"/>
      <family val="2"/>
    </font>
    <font>
      <b/>
      <shadow/>
      <sz val="36"/>
      <color rgb="FF000000"/>
      <name val="Calibri"/>
      <family val="2"/>
      <scheme val="minor"/>
    </font>
    <font>
      <b/>
      <u/>
      <sz val="14"/>
      <color theme="1"/>
      <name val="Arial"/>
      <family val="2"/>
    </font>
    <font>
      <sz val="9"/>
      <color rgb="FF333399"/>
      <name val="Calibri"/>
      <family val="2"/>
    </font>
    <font>
      <sz val="11"/>
      <color theme="0"/>
      <name val="Arial"/>
      <family val="2"/>
    </font>
    <font>
      <sz val="8"/>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0F4FA"/>
      </patternFill>
    </fill>
    <fill>
      <patternFill patternType="solid">
        <fgColor rgb="FFFFFFFF"/>
      </patternFill>
    </fill>
    <fill>
      <patternFill patternType="solid">
        <fgColor rgb="FFFFFF99"/>
      </patternFill>
    </fill>
    <fill>
      <patternFill patternType="solid">
        <fgColor rgb="FFFFFF0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ck">
        <color theme="0" tint="-0.34998626667073579"/>
      </left>
      <right/>
      <top style="thick">
        <color theme="0" tint="-0.34998626667073579"/>
      </top>
      <bottom style="medium">
        <color theme="0" tint="-4.9989318521683403E-2"/>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rgb="FFFFFFFF"/>
      </left>
      <right/>
      <top style="thin">
        <color rgb="FFFFFFFF"/>
      </top>
      <bottom/>
      <diagonal/>
    </border>
    <border>
      <left/>
      <right/>
      <top style="thin">
        <color rgb="FFFFFFFF"/>
      </top>
      <bottom/>
      <diagonal/>
    </border>
  </borders>
  <cellStyleXfs count="9">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16" fillId="0" borderId="0"/>
  </cellStyleXfs>
  <cellXfs count="38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5"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Alignment="1">
      <alignment horizontal="left" vertical="center"/>
    </xf>
    <xf numFmtId="166" fontId="2" fillId="0" borderId="2" xfId="1" applyNumberFormat="1" applyFont="1" applyFill="1" applyBorder="1"/>
    <xf numFmtId="166" fontId="2" fillId="0" borderId="8" xfId="1" applyNumberFormat="1" applyFont="1" applyBorder="1"/>
    <xf numFmtId="166" fontId="2" fillId="0" borderId="2" xfId="1" applyNumberFormat="1" applyFont="1" applyBorder="1"/>
    <xf numFmtId="0" fontId="3" fillId="0" borderId="2" xfId="0" applyFont="1" applyBorder="1" applyAlignment="1">
      <alignment wrapText="1"/>
    </xf>
    <xf numFmtId="167" fontId="2" fillId="0" borderId="2" xfId="0" applyNumberFormat="1" applyFont="1" applyBorder="1" applyAlignment="1">
      <alignment wrapText="1"/>
    </xf>
    <xf numFmtId="167" fontId="2" fillId="0" borderId="2" xfId="0" applyNumberFormat="1" applyFont="1" applyBorder="1"/>
    <xf numFmtId="0" fontId="6" fillId="0" borderId="0" xfId="0" applyFont="1" applyAlignment="1">
      <alignment vertical="center"/>
    </xf>
    <xf numFmtId="0" fontId="8" fillId="0" borderId="0" xfId="0" applyFont="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7" fontId="2" fillId="0" borderId="3" xfId="0" applyNumberFormat="1" applyFont="1" applyBorder="1"/>
    <xf numFmtId="167" fontId="2" fillId="0" borderId="0" xfId="0" applyNumberFormat="1" applyFont="1"/>
    <xf numFmtId="0" fontId="2" fillId="0" borderId="10" xfId="0" applyFont="1" applyBorder="1"/>
    <xf numFmtId="167" fontId="2" fillId="0" borderId="10" xfId="0" applyNumberFormat="1" applyFont="1" applyBorder="1"/>
    <xf numFmtId="9" fontId="2" fillId="0" borderId="0" xfId="4" applyFont="1" applyBorder="1"/>
    <xf numFmtId="0" fontId="3" fillId="0" borderId="16" xfId="0" applyFont="1" applyBorder="1"/>
    <xf numFmtId="166" fontId="3" fillId="0" borderId="16" xfId="1" applyNumberFormat="1" applyFont="1" applyBorder="1"/>
    <xf numFmtId="166" fontId="3" fillId="0" borderId="17" xfId="1" applyNumberFormat="1" applyFont="1" applyBorder="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Border="1" applyAlignment="1">
      <alignment wrapText="1"/>
    </xf>
    <xf numFmtId="0" fontId="3" fillId="0" borderId="18" xfId="0" applyFont="1" applyBorder="1" applyAlignment="1">
      <alignment wrapText="1"/>
    </xf>
    <xf numFmtId="168" fontId="2" fillId="0" borderId="2" xfId="5" applyNumberFormat="1" applyFont="1" applyFill="1" applyBorder="1"/>
    <xf numFmtId="0" fontId="2" fillId="3" borderId="2" xfId="0" applyFont="1" applyFill="1" applyBorder="1"/>
    <xf numFmtId="0" fontId="2" fillId="0" borderId="0" xfId="0" applyFont="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0" fillId="0" borderId="0" xfId="0" applyFont="1"/>
    <xf numFmtId="44" fontId="9" fillId="0" borderId="0" xfId="1" applyFont="1" applyBorder="1"/>
    <xf numFmtId="9" fontId="9" fillId="0" borderId="0" xfId="4" applyFont="1" applyBorder="1"/>
    <xf numFmtId="168" fontId="2" fillId="2" borderId="2" xfId="5" applyNumberFormat="1" applyFont="1" applyFill="1" applyBorder="1"/>
    <xf numFmtId="165"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Border="1" applyAlignment="1">
      <alignment horizontal="right"/>
    </xf>
    <xf numFmtId="0" fontId="6" fillId="0" borderId="0" xfId="0" applyFont="1"/>
    <xf numFmtId="0" fontId="6" fillId="0" borderId="0" xfId="0" applyFont="1" applyAlignment="1">
      <alignment wrapText="1"/>
    </xf>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22" xfId="0" applyFont="1" applyBorder="1"/>
    <xf numFmtId="0" fontId="6" fillId="0" borderId="20" xfId="0" applyFont="1" applyBorder="1" applyAlignment="1">
      <alignment horizontal="center" wrapText="1"/>
    </xf>
    <xf numFmtId="0" fontId="6" fillId="0" borderId="19" xfId="0" applyFont="1" applyBorder="1" applyAlignment="1">
      <alignment horizontal="center" wrapText="1"/>
    </xf>
    <xf numFmtId="168" fontId="2" fillId="2" borderId="1" xfId="5" applyNumberFormat="1" applyFont="1" applyFill="1" applyBorder="1"/>
    <xf numFmtId="168" fontId="2" fillId="2" borderId="11" xfId="5" applyNumberFormat="1" applyFont="1" applyFill="1" applyBorder="1"/>
    <xf numFmtId="0" fontId="3" fillId="2" borderId="3" xfId="0" applyFont="1" applyFill="1" applyBorder="1" applyAlignment="1">
      <alignment horizontal="center"/>
    </xf>
    <xf numFmtId="168" fontId="3" fillId="0" borderId="16" xfId="5" applyNumberFormat="1" applyFont="1" applyBorder="1"/>
    <xf numFmtId="166" fontId="2" fillId="2" borderId="2" xfId="1" applyNumberFormat="1" applyFont="1" applyFill="1" applyBorder="1"/>
    <xf numFmtId="166" fontId="2" fillId="0" borderId="0" xfId="1" applyNumberFormat="1" applyFont="1"/>
    <xf numFmtId="166" fontId="2" fillId="0" borderId="10" xfId="1" applyNumberFormat="1" applyFont="1" applyBorder="1"/>
    <xf numFmtId="0" fontId="3" fillId="0" borderId="2" xfId="0" applyFont="1" applyBorder="1" applyAlignment="1">
      <alignment horizontal="center"/>
    </xf>
    <xf numFmtId="0" fontId="6" fillId="0" borderId="2" xfId="0" applyFont="1" applyBorder="1" applyAlignment="1">
      <alignment horizontal="center"/>
    </xf>
    <xf numFmtId="0" fontId="9" fillId="0" borderId="0" xfId="0" applyFont="1"/>
    <xf numFmtId="165" fontId="7" fillId="0" borderId="2" xfId="4" applyNumberFormat="1" applyFont="1" applyFill="1" applyBorder="1"/>
    <xf numFmtId="165" fontId="7" fillId="0" borderId="16" xfId="4" applyNumberFormat="1" applyFont="1" applyFill="1" applyBorder="1"/>
    <xf numFmtId="166" fontId="7" fillId="2" borderId="2" xfId="1" applyNumberFormat="1" applyFont="1" applyFill="1" applyBorder="1" applyAlignment="1">
      <alignment wrapText="1"/>
    </xf>
    <xf numFmtId="166" fontId="7" fillId="2" borderId="2" xfId="1" applyNumberFormat="1" applyFont="1" applyFill="1" applyBorder="1"/>
    <xf numFmtId="166" fontId="7" fillId="0" borderId="2" xfId="1" applyNumberFormat="1" applyFont="1" applyFill="1" applyBorder="1"/>
    <xf numFmtId="166" fontId="7" fillId="2" borderId="16" xfId="1" applyNumberFormat="1" applyFont="1" applyFill="1" applyBorder="1"/>
    <xf numFmtId="167"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6"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8" fontId="7" fillId="0" borderId="16" xfId="5" applyNumberFormat="1" applyFont="1" applyFill="1" applyBorder="1" applyAlignment="1">
      <alignment vertical="center"/>
    </xf>
    <xf numFmtId="168" fontId="7" fillId="2" borderId="25" xfId="5" applyNumberFormat="1" applyFont="1" applyFill="1" applyBorder="1" applyAlignment="1">
      <alignment vertical="center"/>
    </xf>
    <xf numFmtId="168" fontId="7" fillId="2" borderId="2" xfId="5" applyNumberFormat="1" applyFont="1" applyFill="1" applyBorder="1" applyAlignment="1">
      <alignment vertical="center"/>
    </xf>
    <xf numFmtId="168" fontId="2" fillId="0" borderId="0" xfId="0" applyNumberFormat="1" applyFont="1"/>
    <xf numFmtId="166" fontId="2" fillId="0" borderId="0" xfId="0" applyNumberFormat="1" applyFont="1"/>
    <xf numFmtId="166" fontId="7" fillId="0" borderId="0" xfId="0" applyNumberFormat="1" applyFont="1"/>
    <xf numFmtId="44" fontId="2" fillId="0" borderId="0" xfId="0" applyNumberFormat="1" applyFont="1"/>
    <xf numFmtId="166" fontId="2" fillId="0" borderId="0" xfId="1" applyNumberFormat="1" applyFont="1" applyFill="1"/>
    <xf numFmtId="166"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6" fontId="6" fillId="0" borderId="13" xfId="1" applyNumberFormat="1" applyFont="1" applyBorder="1"/>
    <xf numFmtId="166" fontId="7" fillId="4" borderId="2" xfId="1" applyNumberFormat="1" applyFont="1" applyFill="1" applyBorder="1"/>
    <xf numFmtId="166" fontId="6" fillId="4" borderId="13" xfId="1" applyNumberFormat="1" applyFont="1" applyFill="1" applyBorder="1"/>
    <xf numFmtId="0" fontId="0" fillId="0" borderId="0" xfId="0" applyAlignment="1">
      <alignment horizontal="center" vertical="top" wrapText="1"/>
    </xf>
    <xf numFmtId="2" fontId="0" fillId="0" borderId="0" xfId="0" applyNumberFormat="1"/>
    <xf numFmtId="2" fontId="11" fillId="5" borderId="27" xfId="0" applyNumberFormat="1" applyFont="1" applyFill="1" applyBorder="1" applyAlignment="1">
      <alignment horizontal="left" vertical="top" wrapText="1"/>
    </xf>
    <xf numFmtId="0" fontId="0" fillId="6" borderId="29" xfId="0" applyFill="1" applyBorder="1" applyAlignment="1">
      <alignment horizontal="right" vertical="top" wrapText="1"/>
    </xf>
    <xf numFmtId="169" fontId="3" fillId="0" borderId="0" xfId="4" applyNumberFormat="1" applyFont="1" applyFill="1"/>
    <xf numFmtId="0" fontId="2" fillId="0" borderId="2" xfId="0" applyFont="1" applyBorder="1" applyAlignment="1">
      <alignment wrapText="1"/>
    </xf>
    <xf numFmtId="0" fontId="6" fillId="0" borderId="9" xfId="0" applyFont="1" applyBorder="1" applyAlignment="1">
      <alignment horizontal="center" wrapText="1"/>
    </xf>
    <xf numFmtId="0" fontId="2" fillId="3" borderId="26" xfId="0" applyFont="1" applyFill="1" applyBorder="1" applyAlignment="1" applyProtection="1">
      <alignment horizontal="left" vertical="center" wrapText="1"/>
      <protection locked="0"/>
    </xf>
    <xf numFmtId="0" fontId="2" fillId="3" borderId="2" xfId="0" applyFont="1" applyFill="1" applyBorder="1" applyProtection="1">
      <protection locked="0"/>
    </xf>
    <xf numFmtId="0" fontId="2" fillId="2" borderId="2" xfId="0" applyFont="1" applyFill="1" applyBorder="1" applyAlignment="1" applyProtection="1">
      <alignment wrapText="1"/>
      <protection locked="0"/>
    </xf>
    <xf numFmtId="0" fontId="14" fillId="0" borderId="0" xfId="0" applyFont="1"/>
    <xf numFmtId="0" fontId="6" fillId="0" borderId="2"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3" fillId="0" borderId="0" xfId="0" applyFont="1" applyAlignment="1">
      <alignment horizontal="center"/>
    </xf>
    <xf numFmtId="170" fontId="6" fillId="0" borderId="13" xfId="1" applyNumberFormat="1" applyFont="1" applyBorder="1"/>
    <xf numFmtId="171" fontId="7" fillId="0" borderId="16" xfId="5" applyNumberFormat="1" applyFont="1" applyFill="1" applyBorder="1" applyAlignment="1">
      <alignment vertical="center"/>
    </xf>
    <xf numFmtId="171" fontId="2" fillId="2" borderId="1" xfId="5" applyNumberFormat="1" applyFont="1" applyFill="1" applyBorder="1" applyProtection="1">
      <protection locked="0"/>
    </xf>
    <xf numFmtId="171" fontId="2" fillId="2" borderId="2" xfId="5" applyNumberFormat="1" applyFont="1" applyFill="1" applyBorder="1" applyProtection="1">
      <protection locked="0"/>
    </xf>
    <xf numFmtId="171" fontId="2" fillId="0" borderId="2" xfId="5" applyNumberFormat="1" applyFont="1" applyFill="1" applyBorder="1"/>
    <xf numFmtId="171" fontId="2" fillId="2" borderId="11" xfId="5" applyNumberFormat="1" applyFont="1" applyFill="1" applyBorder="1" applyProtection="1">
      <protection locked="0"/>
    </xf>
    <xf numFmtId="171" fontId="3" fillId="0" borderId="16" xfId="5" applyNumberFormat="1" applyFont="1" applyBorder="1"/>
    <xf numFmtId="170" fontId="2" fillId="0" borderId="2" xfId="1" applyNumberFormat="1" applyFont="1" applyFill="1" applyBorder="1"/>
    <xf numFmtId="170" fontId="3" fillId="0" borderId="16" xfId="1" applyNumberFormat="1" applyFont="1" applyBorder="1"/>
    <xf numFmtId="170" fontId="2" fillId="0" borderId="2" xfId="1" applyNumberFormat="1" applyFont="1" applyBorder="1"/>
    <xf numFmtId="170" fontId="2" fillId="0" borderId="8" xfId="1" applyNumberFormat="1" applyFont="1" applyBorder="1"/>
    <xf numFmtId="170" fontId="3" fillId="0" borderId="17" xfId="1" applyNumberFormat="1" applyFont="1" applyBorder="1"/>
    <xf numFmtId="170" fontId="2" fillId="2" borderId="9" xfId="0" applyNumberFormat="1" applyFont="1" applyFill="1" applyBorder="1" applyAlignment="1" applyProtection="1">
      <alignment horizontal="center"/>
      <protection locked="0"/>
    </xf>
    <xf numFmtId="170" fontId="2" fillId="0" borderId="10" xfId="1" applyNumberFormat="1" applyFont="1" applyBorder="1"/>
    <xf numFmtId="170" fontId="2" fillId="0" borderId="0" xfId="1" applyNumberFormat="1" applyFont="1"/>
    <xf numFmtId="170" fontId="2" fillId="0" borderId="0" xfId="1" applyNumberFormat="1" applyFont="1" applyBorder="1"/>
    <xf numFmtId="0" fontId="11" fillId="6" borderId="29" xfId="0" applyFont="1" applyFill="1" applyBorder="1" applyAlignment="1">
      <alignment horizontal="left" vertical="top" wrapText="1"/>
    </xf>
    <xf numFmtId="0" fontId="11" fillId="8" borderId="29" xfId="0" applyFont="1" applyFill="1" applyBorder="1" applyAlignment="1">
      <alignment horizontal="left" vertical="top" wrapText="1"/>
    </xf>
    <xf numFmtId="0" fontId="2" fillId="0" borderId="0" xfId="2" applyFont="1"/>
    <xf numFmtId="0" fontId="2" fillId="0" borderId="0" xfId="2" applyFont="1" applyAlignment="1">
      <alignment horizontal="right" vertical="center"/>
    </xf>
    <xf numFmtId="0" fontId="2" fillId="0" borderId="0" xfId="2" applyFont="1" applyAlignment="1">
      <alignment vertical="center"/>
    </xf>
    <xf numFmtId="0" fontId="2" fillId="0" borderId="0" xfId="2" applyFont="1" applyAlignment="1">
      <alignment horizontal="left" wrapText="1"/>
    </xf>
    <xf numFmtId="0" fontId="7" fillId="0" borderId="0" xfId="2" applyFont="1" applyAlignment="1">
      <alignment horizontal="left" wrapText="1"/>
    </xf>
    <xf numFmtId="0" fontId="15" fillId="0" borderId="0" xfId="2" applyFont="1"/>
    <xf numFmtId="0" fontId="2" fillId="0" borderId="0" xfId="2" applyFont="1" applyAlignment="1">
      <alignment horizontal="center" wrapText="1"/>
    </xf>
    <xf numFmtId="0" fontId="7" fillId="0" borderId="0" xfId="2" applyFont="1" applyAlignment="1">
      <alignment horizontal="center" wrapText="1"/>
    </xf>
    <xf numFmtId="166" fontId="3" fillId="0" borderId="0" xfId="6" applyNumberFormat="1" applyFont="1" applyBorder="1" applyAlignment="1">
      <alignment horizontal="left" wrapText="1"/>
    </xf>
    <xf numFmtId="0" fontId="0" fillId="0" borderId="2" xfId="0" applyBorder="1"/>
    <xf numFmtId="0" fontId="2" fillId="0" borderId="0" xfId="0" applyFont="1" applyAlignment="1">
      <alignment horizontal="center"/>
    </xf>
    <xf numFmtId="172" fontId="2" fillId="0" borderId="2" xfId="7" applyNumberFormat="1" applyFont="1" applyBorder="1" applyAlignment="1">
      <alignment horizontal="center"/>
    </xf>
    <xf numFmtId="0" fontId="6" fillId="0" borderId="0" xfId="0" applyFont="1" applyAlignment="1">
      <alignment horizontal="center" vertical="center"/>
    </xf>
    <xf numFmtId="172" fontId="2" fillId="0" borderId="2" xfId="7" applyNumberFormat="1" applyFont="1" applyBorder="1"/>
    <xf numFmtId="0" fontId="4" fillId="0" borderId="0" xfId="0" applyFont="1" applyAlignment="1">
      <alignment horizontal="center"/>
    </xf>
    <xf numFmtId="0" fontId="3" fillId="0" borderId="33" xfId="0" applyFont="1" applyBorder="1" applyAlignment="1">
      <alignment horizontal="center"/>
    </xf>
    <xf numFmtId="0" fontId="15" fillId="0" borderId="0" xfId="0" applyFont="1" applyAlignment="1">
      <alignment horizontal="left"/>
    </xf>
    <xf numFmtId="0" fontId="2" fillId="0" borderId="33" xfId="0" applyFont="1" applyBorder="1"/>
    <xf numFmtId="0" fontId="2" fillId="0" borderId="0" xfId="7" applyNumberFormat="1" applyFont="1" applyFill="1" applyBorder="1" applyAlignment="1">
      <alignment horizontal="center"/>
    </xf>
    <xf numFmtId="172" fontId="2" fillId="0" borderId="0" xfId="7" applyNumberFormat="1" applyFont="1" applyFill="1" applyBorder="1" applyAlignment="1">
      <alignment horizontal="center"/>
    </xf>
    <xf numFmtId="0" fontId="2" fillId="0" borderId="0" xfId="0" applyFont="1" applyAlignment="1">
      <alignment horizontal="left"/>
    </xf>
    <xf numFmtId="172" fontId="2" fillId="0" borderId="0" xfId="7" applyNumberFormat="1" applyFont="1" applyBorder="1" applyAlignment="1">
      <alignment horizontal="center"/>
    </xf>
    <xf numFmtId="0" fontId="2" fillId="0" borderId="25" xfId="0" applyFont="1" applyBorder="1"/>
    <xf numFmtId="172" fontId="2" fillId="2" borderId="2" xfId="7" applyNumberFormat="1"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2" borderId="2" xfId="7" applyNumberFormat="1" applyFont="1" applyFill="1" applyBorder="1" applyAlignment="1" applyProtection="1">
      <alignment horizontal="center"/>
      <protection locked="0"/>
    </xf>
    <xf numFmtId="0" fontId="3" fillId="0" borderId="0" xfId="0" applyFont="1" applyAlignment="1">
      <alignment horizontal="center" wrapText="1"/>
    </xf>
    <xf numFmtId="0" fontId="3" fillId="0" borderId="0" xfId="0" applyFont="1" applyAlignment="1">
      <alignment horizontal="right" wrapText="1"/>
    </xf>
    <xf numFmtId="0" fontId="11" fillId="5" borderId="28" xfId="0" applyFont="1" applyFill="1" applyBorder="1" applyAlignment="1">
      <alignment horizontal="left" vertical="top" wrapText="1"/>
    </xf>
    <xf numFmtId="0" fontId="16" fillId="0" borderId="0" xfId="8"/>
    <xf numFmtId="0" fontId="16" fillId="0" borderId="0" xfId="8" applyAlignment="1">
      <alignment horizontal="center" vertical="top" wrapText="1"/>
    </xf>
    <xf numFmtId="2" fontId="16" fillId="0" borderId="0" xfId="8" applyNumberFormat="1"/>
    <xf numFmtId="0" fontId="3" fillId="0" borderId="1" xfId="0" applyFont="1" applyBorder="1" applyAlignment="1">
      <alignment horizontal="center" wrapText="1"/>
    </xf>
    <xf numFmtId="0" fontId="18" fillId="0" borderId="0" xfId="0" applyFont="1"/>
    <xf numFmtId="0" fontId="6" fillId="0" borderId="12" xfId="0" applyFont="1" applyBorder="1" applyAlignment="1">
      <alignment horizontal="center"/>
    </xf>
    <xf numFmtId="0" fontId="6" fillId="0" borderId="14" xfId="0" applyFont="1" applyBorder="1" applyAlignment="1">
      <alignment horizontal="center"/>
    </xf>
    <xf numFmtId="171" fontId="3" fillId="0" borderId="0" xfId="5" applyNumberFormat="1" applyFont="1" applyBorder="1"/>
    <xf numFmtId="170" fontId="3" fillId="0" borderId="0" xfId="1" applyNumberFormat="1" applyFont="1" applyBorder="1"/>
    <xf numFmtId="0" fontId="19" fillId="0" borderId="0" xfId="0" applyFont="1"/>
    <xf numFmtId="170" fontId="19" fillId="0" borderId="0" xfId="1" applyNumberFormat="1" applyFont="1" applyBorder="1"/>
    <xf numFmtId="0" fontId="19" fillId="0" borderId="18" xfId="0" applyFont="1" applyBorder="1"/>
    <xf numFmtId="171" fontId="6" fillId="0" borderId="4" xfId="5" applyNumberFormat="1" applyFont="1" applyBorder="1" applyAlignment="1">
      <alignment horizontal="center" wrapText="1"/>
    </xf>
    <xf numFmtId="171" fontId="6" fillId="0" borderId="5" xfId="5" applyNumberFormat="1" applyFont="1" applyBorder="1" applyAlignment="1">
      <alignment horizontal="center" wrapText="1"/>
    </xf>
    <xf numFmtId="170" fontId="6" fillId="0" borderId="5" xfId="1" applyNumberFormat="1" applyFont="1" applyBorder="1" applyAlignment="1">
      <alignment horizontal="center" wrapText="1"/>
    </xf>
    <xf numFmtId="170" fontId="6" fillId="0" borderId="6" xfId="1" applyNumberFormat="1" applyFont="1" applyBorder="1" applyAlignment="1">
      <alignment horizontal="center" wrapText="1"/>
    </xf>
    <xf numFmtId="171" fontId="6" fillId="0" borderId="7" xfId="5" applyNumberFormat="1" applyFont="1" applyBorder="1" applyAlignment="1">
      <alignment horizontal="center"/>
    </xf>
    <xf numFmtId="171" fontId="6" fillId="0" borderId="2" xfId="5" applyNumberFormat="1" applyFont="1" applyBorder="1" applyAlignment="1">
      <alignment horizontal="center"/>
    </xf>
    <xf numFmtId="0" fontId="6" fillId="0" borderId="2" xfId="0" quotePrefix="1" applyFont="1" applyBorder="1" applyAlignment="1">
      <alignment horizontal="center"/>
    </xf>
    <xf numFmtId="170" fontId="6" fillId="0" borderId="2" xfId="1" applyNumberFormat="1" applyFont="1" applyBorder="1" applyAlignment="1">
      <alignment horizontal="center"/>
    </xf>
    <xf numFmtId="170" fontId="6" fillId="0" borderId="8" xfId="1" quotePrefix="1" applyNumberFormat="1" applyFont="1" applyBorder="1" applyAlignment="1">
      <alignment horizontal="center"/>
    </xf>
    <xf numFmtId="170" fontId="6" fillId="0" borderId="19" xfId="1" applyNumberFormat="1" applyFont="1" applyBorder="1" applyAlignment="1">
      <alignment horizontal="right"/>
    </xf>
    <xf numFmtId="170" fontId="6" fillId="0" borderId="42" xfId="1" applyNumberFormat="1" applyFont="1" applyBorder="1"/>
    <xf numFmtId="0" fontId="3" fillId="0" borderId="43" xfId="0" applyFont="1" applyBorder="1" applyAlignment="1">
      <alignment horizontal="center"/>
    </xf>
    <xf numFmtId="0" fontId="3" fillId="0" borderId="46" xfId="0" applyFont="1" applyBorder="1" applyAlignment="1">
      <alignment horizontal="center" wrapText="1"/>
    </xf>
    <xf numFmtId="0" fontId="9" fillId="0" borderId="0" xfId="0" applyFont="1" applyAlignment="1">
      <alignment wrapText="1"/>
    </xf>
    <xf numFmtId="168" fontId="2" fillId="0" borderId="0" xfId="5" applyNumberFormat="1" applyFont="1" applyFill="1" applyBorder="1" applyAlignment="1">
      <alignment horizontal="center"/>
    </xf>
    <xf numFmtId="0" fontId="0" fillId="2" borderId="48" xfId="0" applyFill="1" applyBorder="1"/>
    <xf numFmtId="0" fontId="9" fillId="0" borderId="0" xfId="0" applyFont="1" applyAlignment="1">
      <alignment horizontal="left" wrapText="1"/>
    </xf>
    <xf numFmtId="168" fontId="2" fillId="0" borderId="2" xfId="5" applyNumberFormat="1" applyFont="1" applyFill="1" applyBorder="1" applyAlignment="1">
      <alignment horizontal="center"/>
    </xf>
    <xf numFmtId="0" fontId="6" fillId="0" borderId="12" xfId="0" applyFont="1" applyBorder="1"/>
    <xf numFmtId="44" fontId="6" fillId="0" borderId="14" xfId="1" applyFont="1" applyBorder="1" applyAlignment="1">
      <alignment horizontal="center"/>
    </xf>
    <xf numFmtId="0" fontId="6" fillId="0" borderId="4" xfId="0" applyFont="1" applyBorder="1" applyAlignment="1">
      <alignment horizontal="center"/>
    </xf>
    <xf numFmtId="9" fontId="6" fillId="0" borderId="5" xfId="4" applyFont="1" applyBorder="1" applyAlignment="1">
      <alignment horizontal="center" wrapText="1"/>
    </xf>
    <xf numFmtId="0" fontId="3" fillId="0" borderId="5" xfId="0" applyFont="1" applyBorder="1" applyAlignment="1">
      <alignment horizontal="center" wrapText="1"/>
    </xf>
    <xf numFmtId="0" fontId="6" fillId="0" borderId="6" xfId="0" applyFont="1" applyBorder="1" applyAlignment="1">
      <alignment horizontal="center" wrapText="1"/>
    </xf>
    <xf numFmtId="0" fontId="22" fillId="0" borderId="0" xfId="0" applyFont="1" applyAlignment="1">
      <alignment horizontal="center" vertical="center" readingOrder="1"/>
    </xf>
    <xf numFmtId="0" fontId="23" fillId="0" borderId="0" xfId="0" applyFont="1"/>
    <xf numFmtId="0" fontId="7" fillId="0" borderId="7" xfId="0" applyFont="1" applyBorder="1" applyAlignment="1">
      <alignment horizontal="center"/>
    </xf>
    <xf numFmtId="170" fontId="7" fillId="0" borderId="2" xfId="1" applyNumberFormat="1" applyFont="1" applyFill="1" applyBorder="1" applyAlignment="1">
      <alignment horizontal="center" wrapText="1"/>
    </xf>
    <xf numFmtId="170" fontId="7" fillId="0" borderId="2" xfId="1" applyNumberFormat="1" applyFont="1" applyFill="1" applyBorder="1" applyAlignment="1">
      <alignment horizontal="center"/>
    </xf>
    <xf numFmtId="170" fontId="7" fillId="4" borderId="2" xfId="1" applyNumberFormat="1" applyFont="1" applyFill="1" applyBorder="1" applyAlignment="1">
      <alignment horizontal="center"/>
    </xf>
    <xf numFmtId="165" fontId="7" fillId="0" borderId="8" xfId="4" applyNumberFormat="1" applyFont="1" applyFill="1" applyBorder="1" applyAlignment="1">
      <alignment horizontal="center"/>
    </xf>
    <xf numFmtId="0" fontId="7" fillId="0" borderId="49" xfId="0" applyFont="1" applyBorder="1" applyAlignment="1">
      <alignment horizontal="center"/>
    </xf>
    <xf numFmtId="170" fontId="7" fillId="0" borderId="3" xfId="1" applyNumberFormat="1" applyFont="1" applyFill="1" applyBorder="1" applyAlignment="1">
      <alignment horizontal="center" wrapText="1"/>
    </xf>
    <xf numFmtId="170" fontId="7" fillId="0" borderId="3" xfId="1" applyNumberFormat="1" applyFont="1" applyFill="1" applyBorder="1" applyAlignment="1">
      <alignment horizontal="center"/>
    </xf>
    <xf numFmtId="170" fontId="7" fillId="4" borderId="3" xfId="1" applyNumberFormat="1" applyFont="1" applyFill="1" applyBorder="1" applyAlignment="1">
      <alignment horizontal="center"/>
    </xf>
    <xf numFmtId="165" fontId="7" fillId="0" borderId="50" xfId="4" applyNumberFormat="1" applyFont="1" applyFill="1" applyBorder="1" applyAlignment="1">
      <alignment horizontal="center"/>
    </xf>
    <xf numFmtId="0" fontId="7" fillId="0" borderId="46" xfId="0" applyFont="1" applyBorder="1" applyAlignment="1">
      <alignment horizontal="center"/>
    </xf>
    <xf numFmtId="0" fontId="7" fillId="0" borderId="15" xfId="0" applyFont="1" applyBorder="1" applyAlignment="1">
      <alignment horizontal="center"/>
    </xf>
    <xf numFmtId="170" fontId="7" fillId="0" borderId="17" xfId="1" applyNumberFormat="1" applyFont="1" applyBorder="1"/>
    <xf numFmtId="168" fontId="7" fillId="0" borderId="16" xfId="5" applyNumberFormat="1" applyFont="1" applyBorder="1"/>
    <xf numFmtId="0" fontId="17" fillId="0" borderId="0" xfId="8" applyFont="1" applyAlignment="1">
      <alignment horizontal="left" vertical="top" wrapText="1"/>
    </xf>
    <xf numFmtId="168" fontId="2" fillId="2" borderId="2" xfId="5" applyNumberFormat="1" applyFont="1" applyFill="1" applyBorder="1" applyAlignment="1" applyProtection="1">
      <alignment horizontal="center"/>
      <protection locked="0"/>
    </xf>
    <xf numFmtId="0" fontId="24" fillId="0" borderId="0" xfId="8" applyFont="1" applyAlignment="1">
      <alignment horizontal="left" vertical="top" wrapText="1"/>
    </xf>
    <xf numFmtId="0" fontId="16" fillId="6" borderId="52" xfId="8" applyFill="1" applyBorder="1" applyAlignment="1">
      <alignment horizontal="left" vertical="top" wrapText="1"/>
    </xf>
    <xf numFmtId="0" fontId="16" fillId="6" borderId="53" xfId="8" applyFill="1" applyBorder="1" applyAlignment="1">
      <alignment horizontal="left" vertical="top" wrapText="1"/>
    </xf>
    <xf numFmtId="1" fontId="11" fillId="5" borderId="29" xfId="8" applyNumberFormat="1" applyFont="1" applyFill="1" applyBorder="1" applyAlignment="1">
      <alignment horizontal="center" vertical="top" wrapText="1"/>
    </xf>
    <xf numFmtId="1" fontId="11" fillId="5" borderId="30" xfId="8" applyNumberFormat="1" applyFont="1" applyFill="1" applyBorder="1" applyAlignment="1">
      <alignment horizontal="center" vertical="top" wrapText="1"/>
    </xf>
    <xf numFmtId="0" fontId="11" fillId="5" borderId="27" xfId="8" applyFont="1" applyFill="1" applyBorder="1" applyAlignment="1">
      <alignment horizontal="left" vertical="top" wrapText="1"/>
    </xf>
    <xf numFmtId="0" fontId="11" fillId="5" borderId="29" xfId="8" applyFont="1" applyFill="1" applyBorder="1" applyAlignment="1">
      <alignment horizontal="left" vertical="top" wrapText="1"/>
    </xf>
    <xf numFmtId="0" fontId="11" fillId="5" borderId="30" xfId="8" applyFont="1" applyFill="1" applyBorder="1" applyAlignment="1">
      <alignment horizontal="left" vertical="top" wrapText="1"/>
    </xf>
    <xf numFmtId="4" fontId="11" fillId="6" borderId="29" xfId="8" applyNumberFormat="1" applyFont="1" applyFill="1" applyBorder="1" applyAlignment="1">
      <alignment horizontal="right" vertical="top" wrapText="1"/>
    </xf>
    <xf numFmtId="4" fontId="11" fillId="6" borderId="30" xfId="8" applyNumberFormat="1" applyFont="1" applyFill="1" applyBorder="1" applyAlignment="1">
      <alignment horizontal="right" vertical="top" wrapText="1"/>
    </xf>
    <xf numFmtId="0" fontId="16" fillId="6" borderId="29" xfId="8" applyFill="1" applyBorder="1" applyAlignment="1">
      <alignment horizontal="right" vertical="top" wrapText="1"/>
    </xf>
    <xf numFmtId="0" fontId="16" fillId="6" borderId="30" xfId="8" applyFill="1" applyBorder="1" applyAlignment="1">
      <alignment horizontal="right" vertical="top" wrapText="1"/>
    </xf>
    <xf numFmtId="169" fontId="3" fillId="0" borderId="0" xfId="4" applyNumberFormat="1" applyFont="1" applyFill="1" applyAlignment="1">
      <alignment horizontal="right"/>
    </xf>
    <xf numFmtId="0" fontId="2" fillId="2" borderId="32" xfId="0" applyFont="1" applyFill="1" applyBorder="1" applyAlignment="1" applyProtection="1">
      <alignment horizontal="right"/>
      <protection locked="0"/>
    </xf>
    <xf numFmtId="169" fontId="2" fillId="0" borderId="0" xfId="4" applyNumberFormat="1" applyFont="1" applyFill="1" applyAlignment="1">
      <alignment horizontal="right"/>
    </xf>
    <xf numFmtId="169" fontId="2" fillId="0" borderId="0" xfId="4" applyNumberFormat="1" applyFont="1" applyFill="1"/>
    <xf numFmtId="165" fontId="7" fillId="0" borderId="51" xfId="4" applyNumberFormat="1" applyFont="1" applyBorder="1" applyAlignment="1">
      <alignment horizontal="center"/>
    </xf>
    <xf numFmtId="165" fontId="7" fillId="0" borderId="8" xfId="4" applyNumberFormat="1" applyFont="1" applyBorder="1" applyAlignment="1">
      <alignment horizontal="center"/>
    </xf>
    <xf numFmtId="165" fontId="7" fillId="0" borderId="17" xfId="4" applyNumberFormat="1" applyFont="1" applyBorder="1" applyAlignment="1">
      <alignment horizontal="center"/>
    </xf>
    <xf numFmtId="0" fontId="25" fillId="0" borderId="0" xfId="0" applyFont="1"/>
    <xf numFmtId="0" fontId="3" fillId="0" borderId="9" xfId="0" applyFont="1" applyBorder="1" applyAlignment="1">
      <alignment horizontal="center" wrapText="1"/>
    </xf>
    <xf numFmtId="0" fontId="3" fillId="0" borderId="23" xfId="0" applyFont="1" applyBorder="1" applyAlignment="1">
      <alignment horizontal="center" wrapText="1"/>
    </xf>
    <xf numFmtId="172" fontId="2" fillId="0" borderId="2" xfId="7" applyNumberFormat="1" applyFont="1" applyFill="1" applyBorder="1" applyAlignment="1">
      <alignment horizontal="center"/>
    </xf>
    <xf numFmtId="0" fontId="2" fillId="0" borderId="7" xfId="0" applyFont="1" applyBorder="1" applyAlignment="1">
      <alignment horizontal="center"/>
    </xf>
    <xf numFmtId="165" fontId="2" fillId="0" borderId="8" xfId="4" applyNumberFormat="1" applyFont="1" applyFill="1" applyBorder="1" applyAlignment="1">
      <alignment horizontal="center"/>
    </xf>
    <xf numFmtId="0" fontId="2" fillId="0" borderId="49" xfId="0" applyFont="1" applyBorder="1" applyAlignment="1">
      <alignment horizontal="center"/>
    </xf>
    <xf numFmtId="168" fontId="2" fillId="2" borderId="3" xfId="5" applyNumberFormat="1" applyFont="1" applyFill="1" applyBorder="1" applyAlignment="1" applyProtection="1">
      <alignment horizontal="center"/>
      <protection locked="0"/>
    </xf>
    <xf numFmtId="168" fontId="2" fillId="0" borderId="3" xfId="5" applyNumberFormat="1" applyFont="1" applyFill="1" applyBorder="1" applyAlignment="1">
      <alignment horizontal="center"/>
    </xf>
    <xf numFmtId="165" fontId="2" fillId="0" borderId="50" xfId="4" applyNumberFormat="1" applyFont="1" applyFill="1" applyBorder="1" applyAlignment="1">
      <alignment horizontal="center"/>
    </xf>
    <xf numFmtId="0" fontId="3" fillId="0" borderId="12" xfId="0" applyFont="1" applyBorder="1" applyAlignment="1">
      <alignment horizontal="center"/>
    </xf>
    <xf numFmtId="168" fontId="3" fillId="0" borderId="13" xfId="5" applyNumberFormat="1" applyFont="1" applyFill="1" applyBorder="1" applyAlignment="1">
      <alignment horizontal="center"/>
    </xf>
    <xf numFmtId="165" fontId="3" fillId="0" borderId="14" xfId="4" applyNumberFormat="1" applyFont="1" applyFill="1" applyBorder="1" applyAlignment="1">
      <alignment horizontal="center"/>
    </xf>
    <xf numFmtId="9" fontId="7" fillId="0" borderId="2" xfId="3" applyFont="1" applyBorder="1" applyAlignment="1">
      <alignment horizontal="center" vertical="center"/>
    </xf>
    <xf numFmtId="165" fontId="7" fillId="0" borderId="2" xfId="3" applyNumberFormat="1" applyFont="1" applyBorder="1" applyAlignment="1">
      <alignment horizontal="center" vertical="center"/>
    </xf>
    <xf numFmtId="171" fontId="7" fillId="0" borderId="16" xfId="5" applyNumberFormat="1" applyFont="1" applyFill="1" applyBorder="1" applyAlignment="1">
      <alignment horizontal="center" vertical="center"/>
    </xf>
    <xf numFmtId="171" fontId="7" fillId="2" borderId="25" xfId="5" applyNumberFormat="1" applyFont="1" applyFill="1" applyBorder="1" applyAlignment="1" applyProtection="1">
      <alignment horizontal="center" vertical="center"/>
      <protection locked="0"/>
    </xf>
    <xf numFmtId="171" fontId="7" fillId="2" borderId="2" xfId="5" applyNumberFormat="1" applyFont="1" applyFill="1" applyBorder="1" applyAlignment="1" applyProtection="1">
      <alignment horizontal="center" vertical="center"/>
      <protection locked="0"/>
    </xf>
    <xf numFmtId="168" fontId="7" fillId="2" borderId="15" xfId="5" applyNumberFormat="1" applyFont="1" applyFill="1" applyBorder="1" applyProtection="1">
      <protection locked="0"/>
    </xf>
    <xf numFmtId="0" fontId="4" fillId="0" borderId="0" xfId="2" applyFont="1" applyAlignment="1">
      <alignment horizontal="center"/>
    </xf>
    <xf numFmtId="167" fontId="0" fillId="0" borderId="2" xfId="0" applyNumberFormat="1" applyBorder="1"/>
    <xf numFmtId="167" fontId="7" fillId="2" borderId="16" xfId="0" applyNumberFormat="1" applyFont="1" applyFill="1" applyBorder="1" applyAlignment="1" applyProtection="1">
      <alignment wrapText="1"/>
      <protection locked="0"/>
    </xf>
    <xf numFmtId="0" fontId="3" fillId="0" borderId="2" xfId="0" applyFont="1" applyBorder="1"/>
    <xf numFmtId="0" fontId="6" fillId="0" borderId="0" xfId="0" applyFont="1" applyAlignment="1">
      <alignment vertical="top" wrapText="1"/>
    </xf>
    <xf numFmtId="43" fontId="0" fillId="3" borderId="0" xfId="5" applyFont="1" applyFill="1"/>
    <xf numFmtId="173" fontId="2" fillId="0" borderId="24" xfId="4" applyNumberFormat="1" applyFont="1" applyBorder="1"/>
    <xf numFmtId="4" fontId="16" fillId="0" borderId="0" xfId="8" applyNumberFormat="1"/>
    <xf numFmtId="4" fontId="11" fillId="3" borderId="30" xfId="8" applyNumberFormat="1" applyFont="1" applyFill="1" applyBorder="1" applyAlignment="1">
      <alignment horizontal="right" vertical="top" wrapText="1"/>
    </xf>
    <xf numFmtId="0" fontId="11" fillId="5" borderId="27" xfId="0" applyFont="1" applyFill="1" applyBorder="1" applyAlignment="1">
      <alignment horizontal="left" vertical="top" wrapText="1"/>
    </xf>
    <xf numFmtId="2" fontId="11" fillId="6" borderId="29" xfId="0" applyNumberFormat="1" applyFont="1" applyFill="1" applyBorder="1" applyAlignment="1">
      <alignment horizontal="right" vertical="top" wrapText="1"/>
    </xf>
    <xf numFmtId="0" fontId="11" fillId="6" borderId="29" xfId="0" applyFont="1" applyFill="1" applyBorder="1" applyAlignment="1">
      <alignment horizontal="right" vertical="top" wrapText="1"/>
    </xf>
    <xf numFmtId="2" fontId="11" fillId="7" borderId="29" xfId="0" applyNumberFormat="1" applyFont="1" applyFill="1" applyBorder="1" applyAlignment="1">
      <alignment horizontal="right" vertical="top" wrapText="1"/>
    </xf>
    <xf numFmtId="2" fontId="11" fillId="7" borderId="30" xfId="0" applyNumberFormat="1" applyFont="1" applyFill="1" applyBorder="1" applyAlignment="1">
      <alignment horizontal="right" vertical="top" wrapText="1"/>
    </xf>
    <xf numFmtId="3" fontId="11" fillId="6" borderId="29" xfId="0" applyNumberFormat="1" applyFont="1" applyFill="1" applyBorder="1" applyAlignment="1">
      <alignment horizontal="right" vertical="top" wrapText="1"/>
    </xf>
    <xf numFmtId="0" fontId="11" fillId="5" borderId="28" xfId="8" applyFont="1" applyFill="1" applyBorder="1" applyAlignment="1">
      <alignment horizontal="left" vertical="top" wrapText="1"/>
    </xf>
    <xf numFmtId="0" fontId="11" fillId="6" borderId="29" xfId="8" applyFont="1" applyFill="1" applyBorder="1" applyAlignment="1">
      <alignment horizontal="left" vertical="top" wrapText="1"/>
    </xf>
    <xf numFmtId="2" fontId="11" fillId="6" borderId="29" xfId="8" applyNumberFormat="1" applyFont="1" applyFill="1" applyBorder="1" applyAlignment="1">
      <alignment horizontal="right" vertical="top" wrapText="1"/>
    </xf>
    <xf numFmtId="3" fontId="11" fillId="6" borderId="29" xfId="8" applyNumberFormat="1" applyFont="1" applyFill="1" applyBorder="1" applyAlignment="1">
      <alignment horizontal="right" vertical="top" wrapText="1"/>
    </xf>
    <xf numFmtId="2" fontId="11" fillId="7" borderId="29" xfId="8" applyNumberFormat="1" applyFont="1" applyFill="1" applyBorder="1" applyAlignment="1">
      <alignment horizontal="right" vertical="top" wrapText="1"/>
    </xf>
    <xf numFmtId="2" fontId="11" fillId="7" borderId="30" xfId="8" applyNumberFormat="1" applyFont="1" applyFill="1" applyBorder="1" applyAlignment="1">
      <alignment horizontal="right" vertical="top" wrapText="1"/>
    </xf>
    <xf numFmtId="43" fontId="11" fillId="8" borderId="29" xfId="5" applyFont="1" applyFill="1" applyBorder="1" applyAlignment="1">
      <alignment horizontal="right" vertical="top" wrapText="1"/>
    </xf>
    <xf numFmtId="43" fontId="11" fillId="3" borderId="29" xfId="5" applyFont="1" applyFill="1" applyBorder="1" applyAlignment="1">
      <alignment horizontal="right" vertical="top" wrapText="1"/>
    </xf>
    <xf numFmtId="43" fontId="11" fillId="7" borderId="29" xfId="5" applyFont="1" applyFill="1" applyBorder="1" applyAlignment="1">
      <alignment horizontal="right" vertical="top" wrapText="1"/>
    </xf>
    <xf numFmtId="43" fontId="11" fillId="7" borderId="30" xfId="5" applyFont="1" applyFill="1" applyBorder="1" applyAlignment="1">
      <alignment horizontal="right" vertical="top" wrapText="1"/>
    </xf>
    <xf numFmtId="168" fontId="7" fillId="0" borderId="16" xfId="5" applyNumberFormat="1" applyFont="1" applyFill="1" applyBorder="1"/>
    <xf numFmtId="0" fontId="2" fillId="0" borderId="0" xfId="2" applyFont="1" applyAlignment="1">
      <alignment horizontal="left" wrapText="1"/>
    </xf>
    <xf numFmtId="0" fontId="2" fillId="3" borderId="3"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6" fillId="0" borderId="0" xfId="0" applyFont="1" applyAlignment="1">
      <alignment horizontal="left" vertical="center" wrapText="1"/>
    </xf>
    <xf numFmtId="0" fontId="2" fillId="0" borderId="0" xfId="2" applyFont="1"/>
    <xf numFmtId="0" fontId="2" fillId="0" borderId="0" xfId="2" applyFont="1" applyAlignment="1">
      <alignment horizontal="left" vertical="top" wrapText="1" indent="3"/>
    </xf>
    <xf numFmtId="0" fontId="7" fillId="0" borderId="18" xfId="0" applyFont="1" applyBorder="1" applyAlignment="1">
      <alignment horizontal="left" vertical="center" wrapText="1"/>
    </xf>
    <xf numFmtId="0" fontId="7" fillId="0" borderId="41" xfId="0" applyFont="1" applyBorder="1" applyAlignment="1">
      <alignment horizontal="left" vertical="center"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166" fontId="2" fillId="2" borderId="2" xfId="0" applyNumberFormat="1" applyFont="1" applyFill="1" applyBorder="1" applyAlignment="1" applyProtection="1">
      <alignment horizontal="right"/>
      <protection locked="0"/>
    </xf>
    <xf numFmtId="0" fontId="3" fillId="0" borderId="0" xfId="0" applyFont="1" applyAlignment="1"/>
    <xf numFmtId="0" fontId="0" fillId="0" borderId="0" xfId="0" applyAlignment="1"/>
    <xf numFmtId="166" fontId="3" fillId="0" borderId="0" xfId="6" applyNumberFormat="1" applyFont="1" applyBorder="1" applyAlignment="1">
      <alignment horizontal="right" wrapText="1"/>
    </xf>
    <xf numFmtId="0" fontId="2" fillId="2" borderId="2" xfId="0" applyFont="1" applyFill="1" applyBorder="1" applyAlignment="1" applyProtection="1">
      <alignment horizontal="left" wrapText="1"/>
      <protection locked="0"/>
    </xf>
    <xf numFmtId="0" fontId="2" fillId="2" borderId="9" xfId="0" applyFont="1" applyFill="1" applyBorder="1" applyAlignment="1" applyProtection="1">
      <alignment horizontal="left" wrapText="1"/>
      <protection locked="0"/>
    </xf>
    <xf numFmtId="0" fontId="2" fillId="2" borderId="23" xfId="0" applyFont="1" applyFill="1" applyBorder="1" applyAlignment="1" applyProtection="1">
      <alignment horizontal="left" wrapText="1"/>
      <protection locked="0"/>
    </xf>
    <xf numFmtId="0" fontId="2" fillId="2" borderId="1" xfId="0" applyFont="1" applyFill="1" applyBorder="1" applyAlignment="1" applyProtection="1">
      <alignment horizontal="left" wrapText="1"/>
      <protection locked="0"/>
    </xf>
    <xf numFmtId="0" fontId="6" fillId="0" borderId="2" xfId="0" applyFont="1" applyBorder="1" applyAlignment="1">
      <alignment horizontal="center" wrapText="1"/>
    </xf>
    <xf numFmtId="0" fontId="6" fillId="0" borderId="2" xfId="0" applyFont="1" applyBorder="1" applyAlignment="1">
      <alignment horizontal="center" vertical="center" wrapText="1"/>
    </xf>
    <xf numFmtId="0" fontId="2" fillId="2" borderId="34" xfId="0" applyFont="1" applyFill="1" applyBorder="1" applyAlignment="1" applyProtection="1">
      <alignment horizontal="left"/>
      <protection locked="0"/>
    </xf>
    <xf numFmtId="0" fontId="2" fillId="2" borderId="35" xfId="0" applyFont="1" applyFill="1" applyBorder="1" applyAlignment="1" applyProtection="1">
      <alignment horizontal="left"/>
      <protection locked="0"/>
    </xf>
    <xf numFmtId="0" fontId="2" fillId="2" borderId="36" xfId="0" applyFont="1" applyFill="1" applyBorder="1" applyAlignment="1" applyProtection="1">
      <alignment horizontal="left"/>
      <protection locked="0"/>
    </xf>
    <xf numFmtId="0" fontId="2" fillId="2" borderId="37" xfId="0" applyFont="1" applyFill="1" applyBorder="1" applyAlignment="1" applyProtection="1">
      <alignment horizontal="left"/>
      <protection locked="0"/>
    </xf>
    <xf numFmtId="0" fontId="2" fillId="2" borderId="0" xfId="0" applyFont="1" applyFill="1" applyAlignment="1" applyProtection="1">
      <alignment horizontal="left"/>
      <protection locked="0"/>
    </xf>
    <xf numFmtId="0" fontId="2" fillId="2" borderId="38" xfId="0" applyFont="1" applyFill="1" applyBorder="1" applyAlignment="1" applyProtection="1">
      <alignment horizontal="left"/>
      <protection locked="0"/>
    </xf>
    <xf numFmtId="0" fontId="2" fillId="2" borderId="39" xfId="0" applyFont="1" applyFill="1" applyBorder="1" applyAlignment="1" applyProtection="1">
      <alignment horizontal="left"/>
      <protection locked="0"/>
    </xf>
    <xf numFmtId="0" fontId="2" fillId="2" borderId="22" xfId="0" applyFont="1" applyFill="1" applyBorder="1" applyAlignment="1" applyProtection="1">
      <alignment horizontal="left"/>
      <protection locked="0"/>
    </xf>
    <xf numFmtId="0" fontId="2" fillId="2" borderId="40" xfId="0" applyFont="1" applyFill="1" applyBorder="1" applyAlignment="1" applyProtection="1">
      <alignment horizontal="left"/>
      <protection locked="0"/>
    </xf>
    <xf numFmtId="0" fontId="3" fillId="0" borderId="22" xfId="0" applyFont="1" applyBorder="1" applyAlignment="1">
      <alignment horizontal="left" wrapText="1"/>
    </xf>
    <xf numFmtId="0" fontId="7" fillId="0" borderId="0" xfId="0" applyFont="1" applyAlignment="1">
      <alignment horizontal="left" vertical="top" wrapText="1"/>
    </xf>
    <xf numFmtId="0" fontId="7" fillId="0" borderId="35" xfId="0" applyFont="1" applyBorder="1" applyAlignment="1">
      <alignment horizontal="left" wrapText="1"/>
    </xf>
    <xf numFmtId="0" fontId="3" fillId="0" borderId="9" xfId="0" applyFont="1" applyBorder="1" applyAlignment="1">
      <alignment horizontal="center" wrapText="1"/>
    </xf>
    <xf numFmtId="0" fontId="3" fillId="0" borderId="23" xfId="0" applyFont="1" applyBorder="1" applyAlignment="1">
      <alignment horizontal="center" wrapText="1"/>
    </xf>
    <xf numFmtId="0" fontId="3" fillId="0" borderId="0" xfId="0" applyFont="1" applyAlignment="1">
      <alignment horizontal="left" vertical="center" wrapText="1"/>
    </xf>
    <xf numFmtId="0" fontId="7" fillId="0" borderId="35" xfId="0" applyFont="1" applyFill="1" applyBorder="1" applyAlignment="1">
      <alignment horizontal="left" wrapText="1"/>
    </xf>
    <xf numFmtId="0" fontId="9" fillId="0" borderId="0" xfId="0" applyFont="1" applyAlignment="1">
      <alignment horizontal="left" wrapText="1"/>
    </xf>
    <xf numFmtId="0" fontId="2" fillId="0" borderId="0" xfId="0" applyFont="1" applyAlignment="1">
      <alignment horizontal="left" wrapText="1"/>
    </xf>
    <xf numFmtId="0" fontId="6" fillId="2" borderId="34" xfId="0" applyFont="1" applyFill="1" applyBorder="1" applyAlignment="1" applyProtection="1">
      <alignment horizontal="center" wrapText="1"/>
      <protection locked="0"/>
    </xf>
    <xf numFmtId="0" fontId="6" fillId="2" borderId="35" xfId="0" applyFont="1" applyFill="1" applyBorder="1" applyAlignment="1" applyProtection="1">
      <alignment horizontal="center" wrapText="1"/>
      <protection locked="0"/>
    </xf>
    <xf numFmtId="0" fontId="6" fillId="2" borderId="36" xfId="0" applyFont="1" applyFill="1" applyBorder="1" applyAlignment="1" applyProtection="1">
      <alignment horizontal="center" wrapText="1"/>
      <protection locked="0"/>
    </xf>
    <xf numFmtId="0" fontId="6" fillId="2" borderId="37" xfId="0" applyFont="1" applyFill="1" applyBorder="1" applyAlignment="1" applyProtection="1">
      <alignment horizontal="center" wrapText="1"/>
      <protection locked="0"/>
    </xf>
    <xf numFmtId="0" fontId="6" fillId="2" borderId="0" xfId="0" applyFont="1" applyFill="1" applyAlignment="1" applyProtection="1">
      <alignment horizontal="center" wrapText="1"/>
      <protection locked="0"/>
    </xf>
    <xf numFmtId="0" fontId="6" fillId="2" borderId="38" xfId="0" applyFont="1" applyFill="1" applyBorder="1" applyAlignment="1" applyProtection="1">
      <alignment horizontal="center" wrapText="1"/>
      <protection locked="0"/>
    </xf>
    <xf numFmtId="0" fontId="6" fillId="2" borderId="39" xfId="0" applyFont="1" applyFill="1" applyBorder="1" applyAlignment="1" applyProtection="1">
      <alignment horizontal="center" wrapText="1"/>
      <protection locked="0"/>
    </xf>
    <xf numFmtId="0" fontId="6" fillId="2" borderId="22" xfId="0" applyFont="1" applyFill="1" applyBorder="1" applyAlignment="1" applyProtection="1">
      <alignment horizontal="center" wrapText="1"/>
      <protection locked="0"/>
    </xf>
    <xf numFmtId="0" fontId="6" fillId="2" borderId="40" xfId="0" applyFont="1" applyFill="1" applyBorder="1" applyAlignment="1" applyProtection="1">
      <alignment horizontal="center" wrapText="1"/>
      <protection locked="0"/>
    </xf>
    <xf numFmtId="0" fontId="6" fillId="0" borderId="0" xfId="0" applyFont="1" applyAlignment="1">
      <alignment horizontal="center" wrapText="1"/>
    </xf>
    <xf numFmtId="0" fontId="3" fillId="0" borderId="35" xfId="0" applyFont="1" applyBorder="1" applyAlignment="1">
      <alignment horizontal="center"/>
    </xf>
    <xf numFmtId="0" fontId="3" fillId="0" borderId="44" xfId="0" applyFont="1" applyBorder="1" applyAlignment="1">
      <alignment horizontal="center"/>
    </xf>
    <xf numFmtId="0" fontId="3" fillId="0" borderId="35" xfId="0" applyFont="1" applyBorder="1" applyAlignment="1">
      <alignment horizontal="center" wrapText="1"/>
    </xf>
    <xf numFmtId="0" fontId="3" fillId="0" borderId="32" xfId="0" applyFont="1" applyBorder="1" applyAlignment="1">
      <alignment horizontal="center" wrapText="1"/>
    </xf>
    <xf numFmtId="0" fontId="3" fillId="0" borderId="45" xfId="0" applyFont="1" applyBorder="1" applyAlignment="1">
      <alignment horizontal="center" wrapText="1"/>
    </xf>
    <xf numFmtId="0" fontId="3" fillId="0" borderId="47" xfId="0" applyFont="1" applyBorder="1" applyAlignment="1">
      <alignment horizontal="center" wrapText="1"/>
    </xf>
    <xf numFmtId="0" fontId="3" fillId="0" borderId="9" xfId="0" applyFont="1" applyBorder="1" applyAlignment="1">
      <alignment horizontal="right"/>
    </xf>
    <xf numFmtId="0" fontId="3" fillId="0" borderId="23" xfId="0" applyFont="1" applyBorder="1" applyAlignment="1">
      <alignment horizontal="right"/>
    </xf>
    <xf numFmtId="0" fontId="3" fillId="0" borderId="1" xfId="0" applyFont="1" applyBorder="1" applyAlignment="1">
      <alignment horizontal="right"/>
    </xf>
    <xf numFmtId="0" fontId="2" fillId="2" borderId="2" xfId="0" applyFont="1" applyFill="1" applyBorder="1" applyAlignment="1" applyProtection="1">
      <alignment horizontal="center" wrapText="1"/>
      <protection locked="0"/>
    </xf>
    <xf numFmtId="0" fontId="2" fillId="2" borderId="9" xfId="0" applyFont="1" applyFill="1" applyBorder="1" applyAlignment="1" applyProtection="1">
      <alignment horizontal="center" wrapText="1"/>
      <protection locked="0"/>
    </xf>
    <xf numFmtId="0" fontId="2" fillId="2" borderId="23" xfId="0"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0" fontId="2" fillId="0" borderId="2" xfId="0" applyFont="1" applyBorder="1" applyAlignment="1">
      <alignment horizontal="left" wrapText="1"/>
    </xf>
    <xf numFmtId="0" fontId="15" fillId="0" borderId="9" xfId="0" applyFont="1" applyBorder="1" applyAlignment="1">
      <alignment horizontal="left"/>
    </xf>
    <xf numFmtId="0" fontId="15" fillId="0" borderId="23" xfId="0" applyFont="1" applyBorder="1" applyAlignment="1">
      <alignment horizontal="left"/>
    </xf>
    <xf numFmtId="0" fontId="15" fillId="0" borderId="1" xfId="0" applyFont="1" applyBorder="1" applyAlignment="1">
      <alignment horizontal="left"/>
    </xf>
    <xf numFmtId="0" fontId="15" fillId="0" borderId="31" xfId="0" applyFont="1" applyBorder="1" applyAlignment="1">
      <alignment horizontal="left"/>
    </xf>
    <xf numFmtId="0" fontId="15" fillId="0" borderId="32" xfId="0" applyFont="1" applyBorder="1" applyAlignment="1">
      <alignment horizontal="left"/>
    </xf>
    <xf numFmtId="0" fontId="2" fillId="0" borderId="9" xfId="0" applyFont="1" applyBorder="1" applyAlignment="1">
      <alignment horizontal="left" wrapText="1"/>
    </xf>
    <xf numFmtId="0" fontId="2" fillId="0" borderId="23" xfId="0" applyFont="1" applyBorder="1" applyAlignment="1">
      <alignment horizontal="left" wrapText="1"/>
    </xf>
    <xf numFmtId="0" fontId="2" fillId="0" borderId="1" xfId="0" applyFont="1" applyBorder="1" applyAlignment="1">
      <alignment horizontal="left" wrapText="1"/>
    </xf>
    <xf numFmtId="0" fontId="4" fillId="0" borderId="9" xfId="0" applyFont="1" applyBorder="1" applyAlignment="1">
      <alignment horizontal="center"/>
    </xf>
    <xf numFmtId="0" fontId="4" fillId="0" borderId="2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2" fillId="0" borderId="9" xfId="0" applyFont="1" applyBorder="1" applyAlignment="1">
      <alignment horizontal="right"/>
    </xf>
    <xf numFmtId="0" fontId="2" fillId="0" borderId="23" xfId="0" applyFont="1" applyBorder="1" applyAlignment="1">
      <alignment horizontal="right"/>
    </xf>
    <xf numFmtId="0" fontId="2" fillId="0" borderId="1" xfId="0" applyFont="1" applyBorder="1" applyAlignment="1">
      <alignment horizontal="right"/>
    </xf>
    <xf numFmtId="0" fontId="2" fillId="0" borderId="2" xfId="0" applyFont="1" applyBorder="1" applyAlignment="1">
      <alignment horizontal="right"/>
    </xf>
    <xf numFmtId="0" fontId="3" fillId="0" borderId="0" xfId="0" applyFont="1" applyAlignment="1">
      <alignment horizontal="left"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7" fillId="0" borderId="0" xfId="8" applyFont="1" applyAlignment="1">
      <alignment horizontal="left" vertical="top" wrapText="1"/>
    </xf>
    <xf numFmtId="0" fontId="13" fillId="0" borderId="0" xfId="8" applyFont="1" applyAlignment="1">
      <alignment horizontal="left" vertical="top" wrapText="1"/>
    </xf>
    <xf numFmtId="0" fontId="17" fillId="0" borderId="0" xfId="0" applyFont="1" applyAlignment="1">
      <alignment horizontal="left" vertical="top" wrapText="1"/>
    </xf>
  </cellXfs>
  <cellStyles count="9">
    <cellStyle name="Comma" xfId="5" builtinId="3"/>
    <cellStyle name="Comma 2" xfId="7" xr:uid="{00000000-0005-0000-0000-000001000000}"/>
    <cellStyle name="Currency" xfId="1" builtinId="4"/>
    <cellStyle name="Currency 2" xfId="6" xr:uid="{00000000-0005-0000-0000-000003000000}"/>
    <cellStyle name="Normal" xfId="0" builtinId="0"/>
    <cellStyle name="Normal 2" xfId="2" xr:uid="{00000000-0005-0000-0000-000005000000}"/>
    <cellStyle name="Normal 3" xfId="8" xr:uid="{00000000-0005-0000-0000-000006000000}"/>
    <cellStyle name="Percent" xfId="4" builtinId="5"/>
    <cellStyle name="Percent 2"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4" name="Picture 3">
          <a:extLst>
            <a:ext uri="{FF2B5EF4-FFF2-40B4-BE49-F238E27FC236}">
              <a16:creationId xmlns:a16="http://schemas.microsoft.com/office/drawing/2014/main" id="{60FAAEE3-9F2E-48A3-B014-186AE476599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843657" cy="1488621"/>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5" name="Rectangle 4">
          <a:extLst>
            <a:ext uri="{FF2B5EF4-FFF2-40B4-BE49-F238E27FC236}">
              <a16:creationId xmlns:a16="http://schemas.microsoft.com/office/drawing/2014/main" id="{0746532D-5D92-427B-82F7-197C83B84CAD}"/>
            </a:ext>
          </a:extLst>
        </xdr:cNvPr>
        <xdr:cNvSpPr/>
      </xdr:nvSpPr>
      <xdr:spPr>
        <a:xfrm>
          <a:off x="29527" y="706756"/>
          <a:ext cx="11639959" cy="68430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2023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6" name="Rectangle 5">
          <a:extLst>
            <a:ext uri="{FF2B5EF4-FFF2-40B4-BE49-F238E27FC236}">
              <a16:creationId xmlns:a16="http://schemas.microsoft.com/office/drawing/2014/main" id="{B5686917-E26F-4D3C-B15E-DE62704A9FB6}"/>
            </a:ext>
          </a:extLst>
        </xdr:cNvPr>
        <xdr:cNvSpPr/>
      </xdr:nvSpPr>
      <xdr:spPr>
        <a:xfrm>
          <a:off x="662803" y="186147"/>
          <a:ext cx="10836568" cy="236527"/>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7" name="Picture 6">
          <a:extLst>
            <a:ext uri="{FF2B5EF4-FFF2-40B4-BE49-F238E27FC236}">
              <a16:creationId xmlns:a16="http://schemas.microsoft.com/office/drawing/2014/main" id="{CFF6419F-DDB8-4C66-8927-ABE361F765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60305"/>
          <a:ext cx="393092" cy="282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533400</xdr:colOff>
      <xdr:row>12</xdr:row>
      <xdr:rowOff>114300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4630400" cy="2286000"/>
        </a:xfrm>
        <a:prstGeom prst="rect">
          <a:avLst/>
        </a:prstGeom>
        <a:ln>
          <a:noFill/>
        </a:ln>
        <a:effectLst>
          <a:softEdge rad="112500"/>
        </a:effectLst>
      </xdr:spPr>
    </xdr:pic>
    <xdr:clientData/>
  </xdr:twoCellAnchor>
  <xdr:twoCellAnchor>
    <xdr:from>
      <xdr:col>0</xdr:col>
      <xdr:colOff>0</xdr:colOff>
      <xdr:row>2</xdr:row>
      <xdr:rowOff>66675</xdr:rowOff>
    </xdr:from>
    <xdr:to>
      <xdr:col>17</xdr:col>
      <xdr:colOff>85725</xdr:colOff>
      <xdr:row>11</xdr:row>
      <xdr:rowOff>0</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0" y="428625"/>
          <a:ext cx="13573125" cy="15621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and 1589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Principal Adjustment Reconciliation</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2</xdr:col>
      <xdr:colOff>28575</xdr:colOff>
      <xdr:row>1</xdr:row>
      <xdr:rowOff>0</xdr:rowOff>
    </xdr:from>
    <xdr:to>
      <xdr:col>12</xdr:col>
      <xdr:colOff>320831</xdr:colOff>
      <xdr:row>2</xdr:row>
      <xdr:rowOff>60451</xdr:rowOff>
    </xdr:to>
    <xdr:sp macro="" textlink="">
      <xdr:nvSpPr>
        <xdr:cNvPr id="4" name="Rectangle 3">
          <a:extLst>
            <a:ext uri="{FF2B5EF4-FFF2-40B4-BE49-F238E27FC236}">
              <a16:creationId xmlns:a16="http://schemas.microsoft.com/office/drawing/2014/main" id="{00000000-0008-0000-0800-000004000000}"/>
            </a:ext>
          </a:extLst>
        </xdr:cNvPr>
        <xdr:cNvSpPr/>
      </xdr:nvSpPr>
      <xdr:spPr>
        <a:xfrm>
          <a:off x="1247775" y="180975"/>
          <a:ext cx="8988581"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5742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7" name="Rectangle 6">
          <a:extLst>
            <a:ext uri="{FF2B5EF4-FFF2-40B4-BE49-F238E27FC236}">
              <a16:creationId xmlns:a16="http://schemas.microsoft.com/office/drawing/2014/main" id="{00000000-0008-0000-0300-000007000000}"/>
            </a:ext>
          </a:extLst>
        </xdr:cNvPr>
        <xdr:cNvSpPr/>
      </xdr:nvSpPr>
      <xdr:spPr>
        <a:xfrm>
          <a:off x="28575" y="781050"/>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9" name="Picture 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7B725EBD-F3F1-4517-BAD3-C192E14DDA5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26E48390-E3A6-4E7A-B3D8-B0EA77C82583}"/>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B0F7E7CF-E753-4426-9665-4203DF4FC07A}"/>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B695E325-BA8A-4BEA-93AD-DE93B1DD6C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A86F1F22-F21B-445F-A0D4-542A034997A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4D46230C-7BFC-415D-919E-954A168E59EC}"/>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50D1201A-08DE-4314-86CB-9E98DA5CA261}"/>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9D86DC61-4739-4FBA-96B2-50908B3F68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607BEA1A-88B8-4CDE-8A5F-F02C44A2AAE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0FAD8F4C-F05C-462E-822C-866F68529A10}"/>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9CFD8E13-F9CB-4E9E-933B-B03912B4436B}"/>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FB86FCCE-4F73-47B6-A059-9DE40503A0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F5253CB7-4BC9-4282-B07A-64F265405F6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10FC7C22-5D0B-408D-8BF8-30D970C60778}"/>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1214EC0A-40B0-4D78-83B0-73F8B1725079}"/>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E038E108-3E55-4D58-B4CA-C9DBB302F1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874341F8-CF0C-4A6C-A9BD-7660E6946E0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2CAC70F7-626A-4ADB-863D-3F74102091B8}"/>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7010988E-D4AF-453F-A65F-C7C339F7F1BD}"/>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707F9F5E-BDF6-4B53-80F0-B699E9E758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A61D9BEC-CBAE-467D-8C06-6EA48D0DE037}"/>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2606460" cy="15449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8C978FF9-5F85-4494-BF2B-8D56F8B4D662}"/>
            </a:ext>
          </a:extLst>
        </xdr:cNvPr>
        <xdr:cNvSpPr/>
      </xdr:nvSpPr>
      <xdr:spPr>
        <a:xfrm>
          <a:off x="28575" y="659130"/>
          <a:ext cx="12369165" cy="7029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BE311298-56EC-47AB-8BC2-F565793F70B2}"/>
            </a:ext>
          </a:extLst>
        </xdr:cNvPr>
        <xdr:cNvSpPr/>
      </xdr:nvSpPr>
      <xdr:spPr>
        <a:xfrm>
          <a:off x="619125" y="116205"/>
          <a:ext cx="10135391"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727B5E96-3C5F-4B0B-AEA2-6DA39DD71F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6215"/>
          <a:ext cx="389282" cy="285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2%20-%20FILLED%20IN%20MODE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22%20Electricity%20Rates/CoS%20Model%20Updates/2021_GA_Analysis_Workform_20200811_dk4.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FPS02\Groups\Applications%20Department\Department%20Applications\Rates\2021%20Electricity%20Rates\2021%20CoS%20Models\Changes%20to%20GA_Analysis_Workform.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Collus PowerStream Corp.</v>
          </cell>
        </row>
        <row r="9">
          <cell r="A9" t="str">
            <v>E.L.K. Energy Inc.</v>
          </cell>
        </row>
        <row r="10">
          <cell r="A10" t="str">
            <v>Energy+ Inc.</v>
          </cell>
        </row>
        <row r="11">
          <cell r="A11" t="str">
            <v>Entegrus Powerlines Inc.</v>
          </cell>
        </row>
        <row r="12">
          <cell r="A12" t="str">
            <v>EnWin Utilities Ltd.</v>
          </cell>
        </row>
        <row r="13">
          <cell r="A13" t="str">
            <v>Festival Hydro Inc.</v>
          </cell>
          <cell r="C13" t="str">
            <v>For Former Parry Sound Power Service Area</v>
          </cell>
        </row>
        <row r="14">
          <cell r="A14" t="str">
            <v>Fort Frances Power Corporation</v>
          </cell>
          <cell r="C14" t="str">
            <v>Except for the Former Parry Sound Power Service Area</v>
          </cell>
        </row>
        <row r="15">
          <cell r="A15" t="str">
            <v>Greater Sudbury Hydro Inc.</v>
          </cell>
        </row>
        <row r="16">
          <cell r="A16" t="str">
            <v>Grimsby Power Incorporated</v>
          </cell>
        </row>
        <row r="17">
          <cell r="A17" t="str">
            <v>Guelph Hydro Electric Systems Inc.</v>
          </cell>
        </row>
        <row r="18">
          <cell r="A18" t="str">
            <v>Halton Hills Hydro Inc.</v>
          </cell>
        </row>
        <row r="19">
          <cell r="A19" t="str">
            <v>Hearst Power Distribution Company Ltd.</v>
          </cell>
        </row>
        <row r="20">
          <cell r="A20" t="str">
            <v>Hydro Hawkesbury Inc.</v>
          </cell>
        </row>
        <row r="21">
          <cell r="A21" t="str">
            <v>Hydro One Networks Inc.</v>
          </cell>
        </row>
        <row r="22">
          <cell r="A22" t="str">
            <v>Hydro Ottawa Limited</v>
          </cell>
        </row>
        <row r="23">
          <cell r="A23" t="str">
            <v>InnPower Corporation</v>
          </cell>
        </row>
        <row r="24">
          <cell r="A24" t="str">
            <v>Kenora Hydro Electric Corporation Ltd.</v>
          </cell>
        </row>
        <row r="25">
          <cell r="A25" t="str">
            <v>Kingston Hydro Corporation</v>
          </cell>
        </row>
        <row r="26">
          <cell r="A26" t="str">
            <v>Kitchener-Wilmot Hydro Inc.</v>
          </cell>
        </row>
        <row r="27">
          <cell r="A27" t="str">
            <v>Lakefront Utilities Inc.</v>
          </cell>
        </row>
        <row r="28">
          <cell r="A28" t="str">
            <v>Lakeland Power Distribution Ltd.</v>
          </cell>
        </row>
        <row r="29">
          <cell r="A29" t="str">
            <v>London Hydro Inc.</v>
          </cell>
        </row>
        <row r="30">
          <cell r="A30" t="str">
            <v>Midland Power Utility Corporation</v>
          </cell>
        </row>
        <row r="31">
          <cell r="A31" t="str">
            <v>Milton Hydro Distribution Inc.</v>
          </cell>
        </row>
        <row r="32">
          <cell r="A32" t="str">
            <v>Newmarket - Tay Power Distribution Ltd.</v>
          </cell>
        </row>
        <row r="33">
          <cell r="A33" t="str">
            <v>Niagara Peninsula Energy Inc.</v>
          </cell>
        </row>
        <row r="34">
          <cell r="A34" t="str">
            <v>Niagara-on-the-Lake Hydro Inc.</v>
          </cell>
        </row>
        <row r="35">
          <cell r="A35" t="str">
            <v>North Bay Hydro Distribution Limited</v>
          </cell>
        </row>
        <row r="36">
          <cell r="A36" t="str">
            <v>Northern Ontario Wires Inc.</v>
          </cell>
        </row>
        <row r="37">
          <cell r="A37" t="str">
            <v>Oakville Hydro Electricity Distribution Inc.</v>
          </cell>
        </row>
        <row r="38">
          <cell r="A38" t="str">
            <v>Orangeville Hydro Limited</v>
          </cell>
        </row>
        <row r="39">
          <cell r="A39" t="str">
            <v>Orillia Power Distribution Corporation</v>
          </cell>
        </row>
        <row r="40">
          <cell r="A40" t="str">
            <v>Oshawa PUC Networks Inc.</v>
          </cell>
        </row>
        <row r="41">
          <cell r="A41" t="str">
            <v>Ottawa River Power Corporation</v>
          </cell>
        </row>
        <row r="42">
          <cell r="A42" t="str">
            <v>Peterborough Distribution Incorporated</v>
          </cell>
        </row>
        <row r="43">
          <cell r="A43" t="str">
            <v>Renfrew Hydro Inc.</v>
          </cell>
        </row>
        <row r="44">
          <cell r="A44" t="str">
            <v>Rideau St. Lawrence Distribution Inc.</v>
          </cell>
        </row>
        <row r="45">
          <cell r="A45" t="str">
            <v>St. Thomas Energy Inc.</v>
          </cell>
        </row>
        <row r="46">
          <cell r="A46" t="str">
            <v>Thunder Bay Hydro Electricity Distribution Inc.</v>
          </cell>
        </row>
        <row r="47">
          <cell r="A47" t="str">
            <v>Tillsonburg Hydro Inc.</v>
          </cell>
        </row>
        <row r="48">
          <cell r="A48" t="str">
            <v>Toronto Hydro-Electric System Limited</v>
          </cell>
        </row>
        <row r="49">
          <cell r="A49" t="str">
            <v>Veridian Connections Inc.</v>
          </cell>
        </row>
        <row r="50">
          <cell r="A50" t="str">
            <v>Wasaga Distribution Inc.</v>
          </cell>
        </row>
        <row r="51">
          <cell r="A51" t="str">
            <v>Waterloo North Hydro Inc.</v>
          </cell>
        </row>
        <row r="52">
          <cell r="A52" t="str">
            <v>Welland Hydro-Electric System Corp.</v>
          </cell>
        </row>
        <row r="53">
          <cell r="A53" t="str">
            <v>Wellington North Power Inc.</v>
          </cell>
        </row>
        <row r="54">
          <cell r="A54" t="str">
            <v>West Coast Huron Energy Inc.</v>
          </cell>
        </row>
        <row r="55">
          <cell r="A55" t="str">
            <v>Whitby Hydro Electric Corporation</v>
          </cell>
        </row>
      </sheetData>
      <sheetData sheetId="6">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
      <sheetData sheetId="8">
        <row r="14">
          <cell r="C14">
            <v>2014</v>
          </cell>
        </row>
        <row r="25">
          <cell r="C25">
            <v>2</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Collus PowerStream Corp.</v>
          </cell>
        </row>
        <row r="9">
          <cell r="A9" t="str">
            <v>E.L.K. Energy Inc.</v>
          </cell>
        </row>
        <row r="10">
          <cell r="A10" t="str">
            <v>Energy+ Inc.</v>
          </cell>
        </row>
        <row r="11">
          <cell r="A11" t="str">
            <v>Entegrus Powerlines Inc.</v>
          </cell>
        </row>
        <row r="12">
          <cell r="A12" t="str">
            <v>EnWin Utilities Ltd.</v>
          </cell>
        </row>
        <row r="13">
          <cell r="A13" t="str">
            <v>Festival Hydro Inc.</v>
          </cell>
        </row>
        <row r="14">
          <cell r="A14" t="str">
            <v>Fort Frances Power Corporation</v>
          </cell>
        </row>
        <row r="15">
          <cell r="A15" t="str">
            <v>Greater Sudbury Hydro Inc.</v>
          </cell>
        </row>
        <row r="16">
          <cell r="A16" t="str">
            <v>Grimsby Power Incorporated</v>
          </cell>
        </row>
        <row r="17">
          <cell r="A17" t="str">
            <v>Guelph Hydro Electric Systems Inc.</v>
          </cell>
        </row>
        <row r="18">
          <cell r="A18" t="str">
            <v>Halton Hills Hydro Inc.</v>
          </cell>
        </row>
        <row r="19">
          <cell r="A19" t="str">
            <v>Hearst Power Distribution Company Ltd.</v>
          </cell>
        </row>
        <row r="20">
          <cell r="A20" t="str">
            <v>Hydro Hawkesbury Inc.</v>
          </cell>
        </row>
        <row r="21">
          <cell r="A21" t="str">
            <v>Hydro One Networks Inc.</v>
          </cell>
        </row>
        <row r="22">
          <cell r="A22" t="str">
            <v>Hydro Ottawa Limited</v>
          </cell>
        </row>
        <row r="23">
          <cell r="A23" t="str">
            <v>InnPower Corporation</v>
          </cell>
        </row>
        <row r="24">
          <cell r="A24" t="str">
            <v>Kenora Hydro Electric Corporation Ltd.</v>
          </cell>
        </row>
        <row r="25">
          <cell r="A25" t="str">
            <v>Kingston Hydro Corporation</v>
          </cell>
        </row>
        <row r="26">
          <cell r="A26" t="str">
            <v>Kitchener-Wilmot Hydro Inc.</v>
          </cell>
        </row>
        <row r="27">
          <cell r="A27" t="str">
            <v>Lakefront Utilities Inc.</v>
          </cell>
        </row>
        <row r="28">
          <cell r="A28" t="str">
            <v>Lakeland Power Distribution Ltd.</v>
          </cell>
        </row>
        <row r="29">
          <cell r="A29" t="str">
            <v>London Hydro Inc.</v>
          </cell>
        </row>
        <row r="30">
          <cell r="A30" t="str">
            <v>Midland Power Utility Corporation</v>
          </cell>
        </row>
        <row r="31">
          <cell r="A31" t="str">
            <v>Milton Hydro Distribution Inc.</v>
          </cell>
        </row>
        <row r="32">
          <cell r="A32" t="str">
            <v>Newmarket - Tay Power Distribution Ltd.</v>
          </cell>
        </row>
        <row r="33">
          <cell r="A33" t="str">
            <v>Niagara Peninsula Energy Inc.</v>
          </cell>
        </row>
        <row r="34">
          <cell r="A34" t="str">
            <v>Niagara-on-the-Lake Hydro Inc.</v>
          </cell>
        </row>
        <row r="35">
          <cell r="A35" t="str">
            <v>North Bay Hydro Distribution Limited</v>
          </cell>
        </row>
        <row r="36">
          <cell r="A36" t="str">
            <v>Northern Ontario Wires Inc.</v>
          </cell>
        </row>
        <row r="37">
          <cell r="A37" t="str">
            <v>Oakville Hydro Electricity Distribution Inc.</v>
          </cell>
        </row>
        <row r="38">
          <cell r="A38" t="str">
            <v>Orangeville Hydro Limited</v>
          </cell>
        </row>
        <row r="39">
          <cell r="A39" t="str">
            <v>Orillia Power Distribution Corporation</v>
          </cell>
        </row>
        <row r="40">
          <cell r="A40" t="str">
            <v>Oshawa PUC Networks Inc.</v>
          </cell>
        </row>
        <row r="41">
          <cell r="A41" t="str">
            <v>Ottawa River Power Corporation</v>
          </cell>
        </row>
        <row r="42">
          <cell r="A42" t="str">
            <v>Peterborough Distribution Incorporated</v>
          </cell>
        </row>
        <row r="43">
          <cell r="A43" t="str">
            <v>Renfrew Hydro Inc.</v>
          </cell>
        </row>
        <row r="44">
          <cell r="A44" t="str">
            <v>Rideau St. Lawrence Distribution Inc.</v>
          </cell>
        </row>
        <row r="45">
          <cell r="A45" t="str">
            <v>St. Thomas Energy Inc.</v>
          </cell>
        </row>
        <row r="46">
          <cell r="A46" t="str">
            <v>Thunder Bay Hydro Electricity Distribution Inc.</v>
          </cell>
        </row>
        <row r="47">
          <cell r="A47" t="str">
            <v>Tillsonburg Hydro Inc.</v>
          </cell>
        </row>
        <row r="48">
          <cell r="A48" t="str">
            <v>Toronto Hydro-Electric System Limited</v>
          </cell>
        </row>
        <row r="49">
          <cell r="A49" t="str">
            <v>Veridian Connections Inc.</v>
          </cell>
        </row>
        <row r="50">
          <cell r="A50" t="str">
            <v>Wasaga Distribution Inc.</v>
          </cell>
        </row>
        <row r="51">
          <cell r="A51" t="str">
            <v>Waterloo North Hydro Inc.</v>
          </cell>
        </row>
        <row r="52">
          <cell r="A52" t="str">
            <v>Welland Hydro-Electric System Corp.</v>
          </cell>
        </row>
        <row r="53">
          <cell r="A53" t="str">
            <v>Wellington North Power Inc.</v>
          </cell>
        </row>
        <row r="54">
          <cell r="A54" t="str">
            <v>West Coast Huron Energy Inc.</v>
          </cell>
        </row>
        <row r="55">
          <cell r="A55" t="str">
            <v>Whitby Hydro Electric Corporation</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GA Analysis "/>
      <sheetName val="GA 2015"/>
      <sheetName val="GA 2016"/>
      <sheetName val="GA 2017"/>
      <sheetName val="GA 2018"/>
      <sheetName val="GA 2019"/>
      <sheetName val="Principal Adjustments"/>
      <sheetName val="Account 1588"/>
      <sheetName val="GA Rates"/>
      <sheetName val="RRR_2017"/>
      <sheetName val="RRR_2018"/>
      <sheetName val="RRR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2)"/>
      <sheetName val="List"/>
      <sheetName val="GA Analysis "/>
      <sheetName val="GA 2014"/>
      <sheetName val="GA 2015"/>
      <sheetName val="GA 2016"/>
      <sheetName val="GA 2017"/>
      <sheetName val="GA 2018"/>
      <sheetName val="GA Rates"/>
      <sheetName val="RRR_2017"/>
      <sheetName val="RRR_2018"/>
    </sheetNames>
    <sheetDataSet>
      <sheetData sheetId="0"/>
      <sheetData sheetId="1">
        <row r="1">
          <cell r="A1" t="str">
            <v>ALECTRA UTILITIES CORPORATION</v>
          </cell>
        </row>
        <row r="2">
          <cell r="A2" t="str">
            <v>ALECTRA UTILITIES - GUELPH</v>
          </cell>
        </row>
        <row r="3">
          <cell r="A3" t="str">
            <v>ALGOMA POWER INC.</v>
          </cell>
        </row>
        <row r="4">
          <cell r="A4" t="str">
            <v>ATIKOKAN HYDRO INC.</v>
          </cell>
        </row>
        <row r="5">
          <cell r="A5" t="str">
            <v>BLUEWATER POWER DISTRIBUTION CORPORATION</v>
          </cell>
        </row>
        <row r="6">
          <cell r="A6" t="str">
            <v>BRANTFORD POWER INC.</v>
          </cell>
        </row>
        <row r="7">
          <cell r="A7" t="str">
            <v>BURLINGTON HYDRO INC.</v>
          </cell>
        </row>
        <row r="8">
          <cell r="A8" t="str">
            <v>CANADIAN NIAGARA POWER INC.</v>
          </cell>
        </row>
        <row r="9">
          <cell r="A9" t="str">
            <v>CENTRE WELLINGTON HYDRO LTD.</v>
          </cell>
        </row>
        <row r="10">
          <cell r="A10" t="str">
            <v>CHAPLEAU PUBLIC UTILITIES CORPORATION</v>
          </cell>
        </row>
        <row r="11">
          <cell r="A11" t="str">
            <v>COOPERATIVE HYDRO EMBRUN INC.</v>
          </cell>
        </row>
        <row r="12">
          <cell r="A12" t="str">
            <v>ELEXICON ENERGY INC.-VERIDIAN RATE ZONE</v>
          </cell>
        </row>
        <row r="13">
          <cell r="A13" t="str">
            <v>ELEXICON ENERGY INC.-WHITBY RATE ZONE</v>
          </cell>
        </row>
        <row r="14">
          <cell r="A14" t="str">
            <v>E.L.K. ENERGY INC.</v>
          </cell>
        </row>
        <row r="15">
          <cell r="A15" t="str">
            <v>ENERGY+ INC.</v>
          </cell>
        </row>
        <row r="16">
          <cell r="A16" t="str">
            <v>ENTEGRUS POWERLINES INC.</v>
          </cell>
        </row>
        <row r="17">
          <cell r="A17" t="str">
            <v>ENWIN UTILITIES LTD.</v>
          </cell>
        </row>
        <row r="18">
          <cell r="A18" t="str">
            <v>EPCOR ELECTRICITY DISTRIBUTION ONTARIO INC.</v>
          </cell>
        </row>
        <row r="19">
          <cell r="A19" t="str">
            <v>ERTH POWER CORPORATION - ERTH POWER MAIN RATE ZONE</v>
          </cell>
        </row>
        <row r="20">
          <cell r="A20" t="str">
            <v>ERTH POWER CORPORATION – GODERICH RATE ZONE</v>
          </cell>
        </row>
        <row r="21">
          <cell r="A21" t="str">
            <v>ESPANOLA REGIONAL HYDRO DISTRIBUTION CORPORATION</v>
          </cell>
        </row>
        <row r="22">
          <cell r="A22" t="str">
            <v>ESSEX POWERLINES CORPORATION</v>
          </cell>
        </row>
        <row r="23">
          <cell r="A23" t="str">
            <v>FESTIVAL HYDRO INC.</v>
          </cell>
        </row>
        <row r="24">
          <cell r="A24" t="str">
            <v>FORT FRANCES POWER CORPORATION</v>
          </cell>
        </row>
        <row r="25">
          <cell r="A25" t="str">
            <v>GREATER SUDBURY HYDRO INC.</v>
          </cell>
        </row>
        <row r="26">
          <cell r="A26" t="str">
            <v>GRIMSBY POWER INCORPORATED</v>
          </cell>
        </row>
        <row r="27">
          <cell r="A27" t="str">
            <v>HALTON HILLS HYDRO INC.</v>
          </cell>
        </row>
        <row r="28">
          <cell r="A28" t="str">
            <v>HEARST POWER DISTRIBUTION CO. LTD.</v>
          </cell>
        </row>
        <row r="29">
          <cell r="A29" t="str">
            <v>HYDRO 2000 INC.</v>
          </cell>
        </row>
        <row r="30">
          <cell r="A30" t="str">
            <v>HYDRO HAWKESBURY INC.</v>
          </cell>
        </row>
        <row r="31">
          <cell r="A31" t="str">
            <v>HYDRO ONE NETWORKS INC.</v>
          </cell>
        </row>
        <row r="32">
          <cell r="A32" t="str">
            <v>HYDRO ONE REMOTE COMMUNITIES INC.</v>
          </cell>
        </row>
        <row r="33">
          <cell r="A33" t="str">
            <v>HYDRO OTTAWA LIMITED</v>
          </cell>
        </row>
        <row r="34">
          <cell r="A34" t="str">
            <v>INNPOWER CORPORATION</v>
          </cell>
        </row>
        <row r="35">
          <cell r="A35" t="str">
            <v>KINGSTON HYDRO CORPORATION</v>
          </cell>
        </row>
        <row r="36">
          <cell r="A36" t="str">
            <v>KITCHENER-WILMOT HYDRO INC.</v>
          </cell>
        </row>
        <row r="37">
          <cell r="A37" t="str">
            <v>LAKEFRONT UTILITIES INC.</v>
          </cell>
        </row>
        <row r="38">
          <cell r="A38" t="str">
            <v>LAKELAND POWER DISTRIBUTION LTD.</v>
          </cell>
        </row>
        <row r="39">
          <cell r="A39" t="str">
            <v>LONDON HYDRO INC.</v>
          </cell>
        </row>
        <row r="40">
          <cell r="A40" t="str">
            <v>MILTON HYDRO DISTRIBUTION INC.</v>
          </cell>
        </row>
        <row r="41">
          <cell r="A41" t="str">
            <v>NEWMARKET-TAY POWER DISTRIBUTION LTD.</v>
          </cell>
        </row>
        <row r="42">
          <cell r="A42" t="str">
            <v>NIAGARA PENINSULA ENERGY INC.</v>
          </cell>
        </row>
        <row r="43">
          <cell r="A43" t="str">
            <v>NIAGARA-ON-THE-LAKE HYDRO INC.</v>
          </cell>
        </row>
        <row r="44">
          <cell r="A44" t="str">
            <v>NORTH BAY HYDRO DISTRIBUTION LIMITED</v>
          </cell>
        </row>
        <row r="45">
          <cell r="A45" t="str">
            <v>NORTHERN ONTARIO WIRES INC.</v>
          </cell>
        </row>
        <row r="46">
          <cell r="A46" t="str">
            <v>OAKVILLE HYDRO ELECTRICITY DISTRIBUTION INC.</v>
          </cell>
        </row>
        <row r="47">
          <cell r="A47" t="str">
            <v>ORANGEVILLE HYDRO LIMITED</v>
          </cell>
        </row>
        <row r="48">
          <cell r="A48" t="str">
            <v>ORILLIA POWER DISTRIBUTION CORPORATION</v>
          </cell>
        </row>
        <row r="49">
          <cell r="A49" t="str">
            <v>OSHAWA PUC NETWORKS INC.</v>
          </cell>
        </row>
        <row r="50">
          <cell r="A50" t="str">
            <v>OTTAWA RIVER POWER CORPORATION</v>
          </cell>
        </row>
        <row r="51">
          <cell r="A51" t="str">
            <v>PETERBOROUGH DISTRIBUTION INCORPORATED</v>
          </cell>
        </row>
        <row r="52">
          <cell r="A52" t="str">
            <v>PUC DISTRIBUTION INC.</v>
          </cell>
        </row>
        <row r="53">
          <cell r="A53" t="str">
            <v>RENFREW HYDRO INC.</v>
          </cell>
        </row>
        <row r="54">
          <cell r="A54" t="str">
            <v>RIDEAU ST. LAWRENCE DISTRIBUTION INC.</v>
          </cell>
        </row>
        <row r="55">
          <cell r="A55" t="str">
            <v>SIOUX LOOKOUT HYDRO INC.</v>
          </cell>
        </row>
        <row r="56">
          <cell r="A56" t="str">
            <v>SYNERGY NORTH CORPORATION – KENORA RATE DISTRICT</v>
          </cell>
        </row>
        <row r="57">
          <cell r="A57" t="str">
            <v>SYNERGY NORTH CORPORATION – THUNDER BAY RATE DISTRICT</v>
          </cell>
        </row>
        <row r="58">
          <cell r="A58" t="str">
            <v>TILLSONBURG HYDRO INC.</v>
          </cell>
        </row>
        <row r="59">
          <cell r="A59" t="str">
            <v>TORONTO HYDRO-ELECTRIC SYSTEM LIMITED</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WESTARIO POWER INC.</v>
          </cell>
        </row>
      </sheetData>
      <sheetData sheetId="2"/>
      <sheetData sheetId="3"/>
      <sheetData sheetId="4"/>
      <sheetData sheetId="5"/>
      <sheetData sheetId="6"/>
      <sheetData sheetId="7"/>
      <sheetData sheetId="8">
        <row r="3">
          <cell r="A3" t="str">
            <v>($/kWh)</v>
          </cell>
        </row>
      </sheetData>
      <sheetData sheetId="9"/>
      <sheetData sheetId="10">
        <row r="4">
          <cell r="B4" t="str">
            <v>Company_Name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5:K47"/>
  <sheetViews>
    <sheetView showGridLines="0" tabSelected="1" view="pageBreakPreview" zoomScale="60" zoomScaleNormal="70" workbookViewId="0">
      <selection activeCell="G15" sqref="G15"/>
    </sheetView>
  </sheetViews>
  <sheetFormatPr defaultColWidth="9" defaultRowHeight="14.4" x14ac:dyDescent="0.3"/>
  <cols>
    <col min="1" max="1" width="10.33203125" customWidth="1"/>
    <col min="2" max="2" width="54.5546875" customWidth="1"/>
    <col min="3" max="3" width="70.5546875" customWidth="1"/>
    <col min="4" max="4" width="31" customWidth="1"/>
    <col min="5" max="5" width="19" customWidth="1"/>
    <col min="6" max="6" width="24.33203125" customWidth="1"/>
    <col min="7" max="7" width="15.88671875" customWidth="1"/>
    <col min="8" max="8" width="18" customWidth="1"/>
    <col min="9" max="9" width="17.5546875" customWidth="1"/>
    <col min="10" max="10" width="17.33203125" customWidth="1"/>
    <col min="11" max="11" width="18"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5" spans="1:6" ht="46.2" x14ac:dyDescent="0.3">
      <c r="D5" s="206"/>
    </row>
    <row r="10" spans="1:6" x14ac:dyDescent="0.3">
      <c r="D10" s="117" t="s">
        <v>477</v>
      </c>
    </row>
    <row r="12" spans="1:6" s="1" customFormat="1" ht="13.8" x14ac:dyDescent="0.25">
      <c r="A12" s="37"/>
      <c r="B12" s="4"/>
      <c r="C12" s="37"/>
    </row>
    <row r="13" spans="1:6" s="1" customFormat="1" ht="13.8" x14ac:dyDescent="0.25">
      <c r="A13" s="4"/>
      <c r="B13" s="4"/>
      <c r="C13" s="4"/>
    </row>
    <row r="14" spans="1:6" s="1" customFormat="1" ht="13.8" x14ac:dyDescent="0.25">
      <c r="A14" s="4"/>
      <c r="B14" s="4" t="s">
        <v>70</v>
      </c>
      <c r="C14" s="23"/>
      <c r="D14" s="4"/>
      <c r="E14" s="4"/>
      <c r="F14" s="4"/>
    </row>
    <row r="15" spans="1:6" s="1" customFormat="1" ht="13.8" x14ac:dyDescent="0.25">
      <c r="A15" s="4"/>
      <c r="B15" s="4" t="s">
        <v>71</v>
      </c>
      <c r="C15" s="45"/>
      <c r="D15" s="4"/>
      <c r="E15" s="4"/>
      <c r="F15" s="4"/>
    </row>
    <row r="16" spans="1:6" s="1" customFormat="1" thickBot="1" x14ac:dyDescent="0.3">
      <c r="A16" s="4"/>
      <c r="B16" s="14"/>
      <c r="C16" s="14"/>
    </row>
    <row r="17" spans="1:11" s="1" customFormat="1" ht="15.6" thickTop="1" thickBot="1" x14ac:dyDescent="0.35">
      <c r="A17"/>
      <c r="B17" s="119" t="s">
        <v>473</v>
      </c>
      <c r="C17" s="114" t="s">
        <v>0</v>
      </c>
    </row>
    <row r="18" spans="1:11" s="1" customFormat="1" ht="13.8" x14ac:dyDescent="0.25">
      <c r="A18" s="4"/>
      <c r="B18" s="14"/>
      <c r="C18" s="14"/>
      <c r="D18" s="4"/>
      <c r="E18" s="4"/>
      <c r="F18" s="4"/>
    </row>
    <row r="19" spans="1:11" s="1" customFormat="1" x14ac:dyDescent="0.3">
      <c r="A19" s="61" t="s">
        <v>72</v>
      </c>
      <c r="B19"/>
      <c r="C19"/>
      <c r="D19"/>
      <c r="E19"/>
      <c r="F19"/>
      <c r="G19"/>
      <c r="H19"/>
      <c r="I19"/>
      <c r="J19"/>
      <c r="K19"/>
    </row>
    <row r="20" spans="1:11" s="1" customFormat="1" ht="34.950000000000003" customHeight="1" x14ac:dyDescent="0.3">
      <c r="A20"/>
      <c r="B20" s="288" t="s">
        <v>479</v>
      </c>
      <c r="C20" s="288"/>
      <c r="D20" s="262" t="s">
        <v>1</v>
      </c>
      <c r="E20" s="141"/>
      <c r="F20" s="142"/>
      <c r="G20" s="143"/>
      <c r="H20" s="143"/>
      <c r="I20" s="143"/>
      <c r="J20" s="143"/>
      <c r="K20" s="143"/>
    </row>
    <row r="21" spans="1:11" s="1" customFormat="1" ht="30" customHeight="1" x14ac:dyDescent="0.3">
      <c r="A21"/>
      <c r="B21" s="288" t="s">
        <v>480</v>
      </c>
      <c r="C21" s="288"/>
      <c r="D21" s="289">
        <v>2020</v>
      </c>
      <c r="E21" s="144"/>
      <c r="F21" s="144"/>
      <c r="G21" s="144"/>
      <c r="H21" s="144"/>
      <c r="I21" s="144"/>
      <c r="J21" s="144"/>
      <c r="K21" s="144"/>
    </row>
    <row r="22" spans="1:11" s="1" customFormat="1" x14ac:dyDescent="0.3">
      <c r="A22"/>
      <c r="B22" s="293" t="s">
        <v>481</v>
      </c>
      <c r="C22" s="293"/>
      <c r="D22" s="290"/>
      <c r="E22" s="141"/>
      <c r="F22" s="142"/>
      <c r="G22" s="143"/>
      <c r="H22" s="143"/>
      <c r="I22" s="143"/>
      <c r="J22" s="143"/>
      <c r="K22" s="143"/>
    </row>
    <row r="23" spans="1:11" s="1" customFormat="1" ht="29.25" customHeight="1" x14ac:dyDescent="0.3">
      <c r="A23"/>
      <c r="B23" s="294" t="s">
        <v>482</v>
      </c>
      <c r="C23" s="294"/>
      <c r="D23" s="290"/>
      <c r="E23" s="147"/>
      <c r="F23" s="147"/>
      <c r="G23" s="147"/>
      <c r="H23" s="147"/>
      <c r="I23" s="147"/>
      <c r="J23" s="147"/>
      <c r="K23" s="144"/>
    </row>
    <row r="24" spans="1:11" s="1" customFormat="1" ht="45.75" customHeight="1" x14ac:dyDescent="0.3">
      <c r="A24"/>
      <c r="B24" s="294" t="s">
        <v>483</v>
      </c>
      <c r="C24" s="294"/>
      <c r="D24" s="291"/>
      <c r="E24" s="148"/>
      <c r="F24" s="148"/>
      <c r="G24" s="148"/>
      <c r="H24" s="148"/>
      <c r="I24" s="148"/>
      <c r="J24" s="148"/>
      <c r="K24" s="145"/>
    </row>
    <row r="25" spans="1:11" s="1" customFormat="1" x14ac:dyDescent="0.3">
      <c r="A25"/>
      <c r="B25" s="146" t="s">
        <v>484</v>
      </c>
      <c r="C25" s="141"/>
      <c r="D25" s="141"/>
      <c r="E25" s="141"/>
      <c r="F25" s="142"/>
      <c r="G25" s="143"/>
      <c r="H25" s="143"/>
      <c r="I25" s="141"/>
      <c r="J25" s="143"/>
      <c r="K25" s="143"/>
    </row>
    <row r="26" spans="1:11" s="1" customFormat="1" thickBot="1" x14ac:dyDescent="0.3">
      <c r="A26" s="4"/>
      <c r="B26" s="120"/>
      <c r="E26" s="4"/>
      <c r="F26" s="4"/>
    </row>
    <row r="27" spans="1:11" s="1" customFormat="1" ht="277.5" customHeight="1" thickBot="1" x14ac:dyDescent="0.3">
      <c r="A27" s="4"/>
      <c r="B27" s="295" t="s">
        <v>485</v>
      </c>
      <c r="C27" s="296"/>
      <c r="E27" s="4"/>
      <c r="F27" s="4"/>
    </row>
    <row r="28" spans="1:11" s="1" customFormat="1" ht="30" customHeight="1" thickBot="1" x14ac:dyDescent="0.3">
      <c r="A28" s="4"/>
      <c r="B28" s="292" t="s">
        <v>2</v>
      </c>
      <c r="C28" s="292"/>
      <c r="E28" s="4"/>
      <c r="F28" s="4"/>
    </row>
    <row r="29" spans="1:11" ht="22.2" hidden="1" customHeight="1" thickBot="1" x14ac:dyDescent="0.35">
      <c r="A29" s="1"/>
      <c r="B29" s="37" t="s">
        <v>3</v>
      </c>
      <c r="C29" s="48"/>
      <c r="D29" s="49"/>
      <c r="E29" s="1"/>
      <c r="F29" s="1"/>
      <c r="G29" s="1"/>
      <c r="H29" s="1"/>
      <c r="I29" s="1"/>
    </row>
    <row r="30" spans="1:11" ht="69.599999999999994" x14ac:dyDescent="0.3">
      <c r="A30" s="1"/>
      <c r="B30" s="202" t="s">
        <v>4</v>
      </c>
      <c r="C30" s="54" t="s">
        <v>474</v>
      </c>
      <c r="D30" s="54" t="s">
        <v>475</v>
      </c>
      <c r="E30" s="54" t="s">
        <v>132</v>
      </c>
      <c r="F30" s="203" t="s">
        <v>154</v>
      </c>
      <c r="G30" s="54" t="s">
        <v>156</v>
      </c>
      <c r="H30" s="204" t="s">
        <v>476</v>
      </c>
      <c r="I30" s="205" t="s">
        <v>157</v>
      </c>
    </row>
    <row r="31" spans="1:11" ht="15" hidden="1" thickBot="1" x14ac:dyDescent="0.35">
      <c r="A31" s="1"/>
      <c r="B31" s="208">
        <v>2016</v>
      </c>
      <c r="C31" s="209">
        <f>'GA 2016'!$C$91</f>
        <v>0</v>
      </c>
      <c r="D31" s="209">
        <f>'GA 2016'!$C$75</f>
        <v>0</v>
      </c>
      <c r="E31" s="210">
        <f>SUM('GA 2016'!$C$76:$C$89)</f>
        <v>0</v>
      </c>
      <c r="F31" s="211">
        <f>'GA 2016'!$C$90</f>
        <v>0</v>
      </c>
      <c r="G31" s="210">
        <f>F31-C31</f>
        <v>0</v>
      </c>
      <c r="H31" s="210">
        <f>'GA 2016'!$J$53</f>
        <v>0</v>
      </c>
      <c r="I31" s="212">
        <f>IF(ISERROR(G31/H31),0,G31/H31)</f>
        <v>0</v>
      </c>
    </row>
    <row r="32" spans="1:11" ht="15" hidden="1" thickBot="1" x14ac:dyDescent="0.35">
      <c r="A32" s="1"/>
      <c r="B32" s="208">
        <v>2017</v>
      </c>
      <c r="C32" s="209">
        <f>'GA 2017'!$C$91</f>
        <v>0</v>
      </c>
      <c r="D32" s="209">
        <f>'GA 2017'!$C$75</f>
        <v>0</v>
      </c>
      <c r="E32" s="210">
        <f>SUM('GA 2017'!$C$76:$C$89)</f>
        <v>0</v>
      </c>
      <c r="F32" s="211">
        <f>'GA 2017'!$C$90</f>
        <v>0</v>
      </c>
      <c r="G32" s="210">
        <f>F32-C32</f>
        <v>0</v>
      </c>
      <c r="H32" s="210">
        <f>'GA 2017'!$J$53</f>
        <v>0</v>
      </c>
      <c r="I32" s="212">
        <f>IF(ISERROR(G32/H32),0,G32/H32)</f>
        <v>0</v>
      </c>
    </row>
    <row r="33" spans="1:9" ht="15" hidden="1" thickBot="1" x14ac:dyDescent="0.35">
      <c r="A33" s="1"/>
      <c r="B33" s="208">
        <v>2018</v>
      </c>
      <c r="C33" s="209">
        <f>'GA 2018'!$C$91</f>
        <v>0</v>
      </c>
      <c r="D33" s="209">
        <f>'GA 2018'!$C$75</f>
        <v>0</v>
      </c>
      <c r="E33" s="210">
        <f>SUM('GA 2018'!$C$76:$C$89)</f>
        <v>0</v>
      </c>
      <c r="F33" s="211">
        <f>'GA 2018'!$C$90</f>
        <v>0</v>
      </c>
      <c r="G33" s="210">
        <f>F33-C33</f>
        <v>0</v>
      </c>
      <c r="H33" s="210">
        <f>'GA 2018'!$J$53</f>
        <v>0</v>
      </c>
      <c r="I33" s="212">
        <f>IF(ISERROR(G33/H33),0,G33/H33)</f>
        <v>0</v>
      </c>
    </row>
    <row r="34" spans="1:9" hidden="1" x14ac:dyDescent="0.3">
      <c r="A34" s="1"/>
      <c r="B34" s="208">
        <v>2019</v>
      </c>
      <c r="C34" s="209">
        <f>'GA 2019'!$C$91</f>
        <v>0</v>
      </c>
      <c r="D34" s="209">
        <f>'GA 2019'!$C$75</f>
        <v>0</v>
      </c>
      <c r="E34" s="210">
        <f>SUM('GA 2019'!$C$76:$C$89)</f>
        <v>0</v>
      </c>
      <c r="F34" s="211">
        <f>'GA 2019'!$C$90</f>
        <v>0</v>
      </c>
      <c r="G34" s="210">
        <f>F34-C34</f>
        <v>0</v>
      </c>
      <c r="H34" s="210">
        <f>'GA 2019'!$J$53</f>
        <v>0</v>
      </c>
      <c r="I34" s="212">
        <f>IF(ISERROR(G34/H34),0,G34/H34)</f>
        <v>0</v>
      </c>
    </row>
    <row r="35" spans="1:9" ht="15" thickBot="1" x14ac:dyDescent="0.35">
      <c r="A35" s="1"/>
      <c r="B35" s="213">
        <v>2021</v>
      </c>
      <c r="C35" s="214">
        <f>'GA 2021'!$C$91</f>
        <v>-414476.22237333981</v>
      </c>
      <c r="D35" s="214">
        <f>'GA 2021'!$C$75</f>
        <v>-1515827.9000000001</v>
      </c>
      <c r="E35" s="215">
        <f>SUM('GA 2021'!$C$76:$C$89)</f>
        <v>964557.16</v>
      </c>
      <c r="F35" s="216">
        <f>'GA 2021'!$C$90</f>
        <v>-551270.74</v>
      </c>
      <c r="G35" s="215">
        <f>F35-C35</f>
        <v>-136794.51762666018</v>
      </c>
      <c r="H35" s="215">
        <f>'GA 2021'!$J$53</f>
        <v>16396741.95682</v>
      </c>
      <c r="I35" s="217">
        <f>IF(ISERROR(G35/H35),0,G35/H35)</f>
        <v>-8.3427865113021651E-3</v>
      </c>
    </row>
    <row r="36" spans="1:9" ht="15" thickBot="1" x14ac:dyDescent="0.35">
      <c r="A36" s="1"/>
      <c r="B36" s="200" t="s">
        <v>5</v>
      </c>
      <c r="C36" s="123">
        <f t="shared" ref="C36:H36" si="0">SUM(C31:C35)</f>
        <v>-414476.22237333981</v>
      </c>
      <c r="D36" s="123">
        <f t="shared" si="0"/>
        <v>-1515827.9000000001</v>
      </c>
      <c r="E36" s="123">
        <f t="shared" si="0"/>
        <v>964557.16</v>
      </c>
      <c r="F36" s="123">
        <f t="shared" si="0"/>
        <v>-551270.74</v>
      </c>
      <c r="G36" s="123">
        <f t="shared" si="0"/>
        <v>-136794.51762666018</v>
      </c>
      <c r="H36" s="123">
        <f t="shared" si="0"/>
        <v>16396741.95682</v>
      </c>
      <c r="I36" s="201" t="s">
        <v>164</v>
      </c>
    </row>
    <row r="37" spans="1:9" hidden="1" x14ac:dyDescent="0.3"/>
    <row r="38" spans="1:9" hidden="1" x14ac:dyDescent="0.3"/>
    <row r="39" spans="1:9" hidden="1" x14ac:dyDescent="0.3">
      <c r="C39" s="174"/>
    </row>
    <row r="40" spans="1:9" ht="34.950000000000003" customHeight="1" thickBot="1" x14ac:dyDescent="0.35">
      <c r="B40" s="37" t="s">
        <v>486</v>
      </c>
      <c r="C40" s="174"/>
    </row>
    <row r="41" spans="1:9" ht="15" thickBot="1" x14ac:dyDescent="0.35">
      <c r="B41" s="175" t="s">
        <v>4</v>
      </c>
      <c r="C41" s="176" t="s">
        <v>478</v>
      </c>
    </row>
    <row r="42" spans="1:9" hidden="1" x14ac:dyDescent="0.3">
      <c r="B42" s="218">
        <v>2016</v>
      </c>
      <c r="C42" s="240" t="e">
        <v>#REF!</v>
      </c>
    </row>
    <row r="43" spans="1:9" hidden="1" x14ac:dyDescent="0.3">
      <c r="B43" s="208">
        <v>2017</v>
      </c>
      <c r="C43" s="241" t="e">
        <v>#REF!</v>
      </c>
    </row>
    <row r="44" spans="1:9" hidden="1" x14ac:dyDescent="0.3">
      <c r="B44" s="208">
        <v>2018</v>
      </c>
      <c r="C44" s="241">
        <f>'Account 1588'!G17</f>
        <v>0</v>
      </c>
    </row>
    <row r="45" spans="1:9" hidden="1" x14ac:dyDescent="0.3">
      <c r="B45" s="208">
        <v>2019</v>
      </c>
      <c r="C45" s="241">
        <f>'Account 1588'!G18</f>
        <v>0</v>
      </c>
    </row>
    <row r="46" spans="1:9" ht="15" thickBot="1" x14ac:dyDescent="0.35">
      <c r="B46" s="219">
        <v>2021</v>
      </c>
      <c r="C46" s="242">
        <f>'Account 1588'!G19</f>
        <v>1.5552176329553145E-3</v>
      </c>
    </row>
    <row r="47" spans="1:9" ht="15" hidden="1" thickBot="1" x14ac:dyDescent="0.35">
      <c r="B47" s="200" t="s">
        <v>5</v>
      </c>
      <c r="C47" s="242">
        <f>'Account 1588'!G20</f>
        <v>0</v>
      </c>
    </row>
  </sheetData>
  <sheetProtection algorithmName="SHA-512" hashValue="v1ehcYESj7LHEImCuINGIF/oyFS25sCHIxpNvztvM7DWXlKueR/KJ6Mu7EmadPJU4k+kjVMUtuF29n3OXoDLPA==" saltValue="5wdlq5OmXAf901XkWjSSFg==" spinCount="100000" sheet="1" objects="1" scenarios="1"/>
  <mergeCells count="8">
    <mergeCell ref="B20:C20"/>
    <mergeCell ref="D21:D24"/>
    <mergeCell ref="B28:C28"/>
    <mergeCell ref="B21:C21"/>
    <mergeCell ref="B22:C22"/>
    <mergeCell ref="B23:C23"/>
    <mergeCell ref="B24:C24"/>
    <mergeCell ref="B27:C27"/>
  </mergeCells>
  <dataValidations count="2">
    <dataValidation type="list" allowBlank="1" showInputMessage="1" showErrorMessage="1" sqref="C17" xr:uid="{00000000-0002-0000-0000-000000000000}">
      <formula1>ListOfLDC</formula1>
    </dataValidation>
    <dataValidation type="list" allowBlank="1" showInputMessage="1" showErrorMessage="1" sqref="D21:D24" xr:uid="{99B4F1D2-2EF7-4A71-BE5E-5F89C7A729E1}">
      <formula1>"2015,2016,2017,2018,2019,2020"</formula1>
    </dataValidation>
  </dataValidations>
  <pageMargins left="0.43307086614173229" right="0.43307086614173229" top="0.74803149606299213" bottom="0.74803149606299213" header="0.31496062992125984" footer="0.31496062992125984"/>
  <pageSetup scale="37" fitToHeight="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D7EEE-C71B-41D2-8876-F2A484B86B14}">
  <sheetPr codeName="Sheet12"/>
  <dimension ref="A7:W77"/>
  <sheetViews>
    <sheetView showGridLines="0" view="pageBreakPreview" zoomScale="60" zoomScaleNormal="70" workbookViewId="0">
      <selection activeCell="F26" sqref="F26"/>
    </sheetView>
  </sheetViews>
  <sheetFormatPr defaultColWidth="8.88671875" defaultRowHeight="13.8" x14ac:dyDescent="0.25"/>
  <cols>
    <col min="1" max="1" width="8.88671875" style="1"/>
    <col min="2" max="2" width="12.109375" style="1" customWidth="1"/>
    <col min="3" max="3" width="26.6640625" style="1" bestFit="1" customWidth="1"/>
    <col min="4" max="4" width="20.33203125" style="1" bestFit="1" customWidth="1"/>
    <col min="5" max="5" width="28.33203125" style="1" bestFit="1" customWidth="1"/>
    <col min="6" max="6" width="27.88671875" style="1" bestFit="1" customWidth="1"/>
    <col min="7" max="7" width="22.6640625" style="1" customWidth="1"/>
    <col min="8" max="21" width="8.88671875" style="1"/>
    <col min="22" max="22" width="0" style="1" hidden="1" customWidth="1"/>
    <col min="23" max="23" width="75.44140625" style="1" customWidth="1"/>
    <col min="24" max="16384" width="8.88671875" style="1"/>
  </cols>
  <sheetData>
    <row r="7" spans="1:23" x14ac:dyDescent="0.25">
      <c r="V7" s="243" t="s">
        <v>215</v>
      </c>
    </row>
    <row r="10" spans="1:23" x14ac:dyDescent="0.25">
      <c r="R10" s="340"/>
      <c r="S10" s="340"/>
      <c r="T10" s="340"/>
      <c r="U10" s="340"/>
      <c r="V10" s="340"/>
      <c r="W10" s="340"/>
    </row>
    <row r="11" spans="1:23" x14ac:dyDescent="0.25">
      <c r="A11" s="1" t="s">
        <v>216</v>
      </c>
      <c r="B11" s="3" t="s">
        <v>217</v>
      </c>
      <c r="F11" s="80"/>
      <c r="R11" s="340"/>
      <c r="S11" s="340"/>
      <c r="T11" s="340"/>
      <c r="U11" s="340"/>
      <c r="V11" s="340"/>
      <c r="W11" s="340"/>
    </row>
    <row r="12" spans="1:23" ht="14.4" thickBot="1" x14ac:dyDescent="0.3">
      <c r="R12" s="340"/>
      <c r="S12" s="340"/>
      <c r="T12" s="340"/>
      <c r="U12" s="340"/>
      <c r="V12" s="340"/>
      <c r="W12" s="340"/>
    </row>
    <row r="13" spans="1:23" x14ac:dyDescent="0.25">
      <c r="B13" s="193"/>
      <c r="C13" s="352" t="s">
        <v>218</v>
      </c>
      <c r="D13" s="352"/>
      <c r="E13" s="353"/>
      <c r="F13" s="354" t="s">
        <v>219</v>
      </c>
      <c r="G13" s="356" t="s">
        <v>220</v>
      </c>
    </row>
    <row r="14" spans="1:23" s="43" customFormat="1" ht="31.95" customHeight="1" x14ac:dyDescent="0.3">
      <c r="B14" s="194" t="s">
        <v>4</v>
      </c>
      <c r="C14" s="244" t="s">
        <v>221</v>
      </c>
      <c r="D14" s="245" t="s">
        <v>222</v>
      </c>
      <c r="E14" s="173" t="s">
        <v>223</v>
      </c>
      <c r="F14" s="355"/>
      <c r="G14" s="357"/>
    </row>
    <row r="15" spans="1:23" ht="13.95" hidden="1" customHeight="1" x14ac:dyDescent="0.25">
      <c r="B15" s="247">
        <v>2016</v>
      </c>
      <c r="C15" s="223"/>
      <c r="D15" s="223"/>
      <c r="E15" s="199">
        <f>SUM(C15:D15)</f>
        <v>0</v>
      </c>
      <c r="F15" s="199">
        <f>IFERROR(VLOOKUP('1. Information Sheet'!$C$17,'4705'!$A:$G,3,FALSE),0)</f>
        <v>54357360</v>
      </c>
      <c r="G15" s="248">
        <f t="shared" ref="G15:G20" si="0">IFERROR(E15/F15,0)</f>
        <v>0</v>
      </c>
      <c r="H15" s="80" t="str">
        <f>IF(ABS(G15)&gt;0.01,$V$7,"")</f>
        <v/>
      </c>
      <c r="O15" s="195"/>
      <c r="P15" s="195"/>
      <c r="Q15" s="195"/>
      <c r="R15" s="195"/>
      <c r="S15" s="195"/>
      <c r="T15" s="195"/>
    </row>
    <row r="16" spans="1:23" hidden="1" x14ac:dyDescent="0.25">
      <c r="B16" s="247">
        <v>2017</v>
      </c>
      <c r="C16" s="223"/>
      <c r="D16" s="223"/>
      <c r="E16" s="199">
        <f>SUM(C16:D16)</f>
        <v>0</v>
      </c>
      <c r="F16" s="199">
        <f>IFERROR(VLOOKUP('1. Information Sheet'!$C$17,'4705'!$A:$G,4,FALSE),0)</f>
        <v>45651670</v>
      </c>
      <c r="G16" s="248">
        <f t="shared" si="0"/>
        <v>0</v>
      </c>
      <c r="H16" s="80" t="str">
        <f>IF(ABS(G16)&gt;0.01,$V$7,"")</f>
        <v/>
      </c>
      <c r="O16" s="195"/>
      <c r="P16" s="195"/>
      <c r="Q16" s="195"/>
      <c r="R16" s="195"/>
      <c r="S16" s="195"/>
      <c r="T16" s="195"/>
    </row>
    <row r="17" spans="2:20" hidden="1" x14ac:dyDescent="0.25">
      <c r="B17" s="247">
        <v>2018</v>
      </c>
      <c r="C17" s="223"/>
      <c r="D17" s="223"/>
      <c r="E17" s="199">
        <f>SUM(C17:D17)</f>
        <v>0</v>
      </c>
      <c r="F17" s="199">
        <f>IFERROR(VLOOKUP('1. Information Sheet'!$C$17,'4705'!$A:$G,5,FALSE),0)</f>
        <v>48076620</v>
      </c>
      <c r="G17" s="248">
        <f t="shared" si="0"/>
        <v>0</v>
      </c>
      <c r="H17" s="80" t="str">
        <f>IF(ABS(G17)&gt;0.01,$V$7,"")</f>
        <v/>
      </c>
      <c r="I17" s="198"/>
      <c r="J17" s="198"/>
      <c r="K17" s="198"/>
      <c r="L17" s="198"/>
      <c r="M17" s="198"/>
      <c r="N17" s="198"/>
      <c r="O17" s="195"/>
      <c r="P17" s="195"/>
      <c r="Q17" s="195"/>
      <c r="R17" s="195"/>
      <c r="S17" s="195"/>
      <c r="T17" s="195"/>
    </row>
    <row r="18" spans="2:20" hidden="1" x14ac:dyDescent="0.25">
      <c r="B18" s="247">
        <v>2019</v>
      </c>
      <c r="C18" s="223"/>
      <c r="D18" s="223"/>
      <c r="E18" s="199">
        <f>SUM(C18:D18)</f>
        <v>0</v>
      </c>
      <c r="F18" s="199">
        <f>IFERROR(VLOOKUP('1. Information Sheet'!$C$17,'4705'!$A:$G,6,FALSE),0)</f>
        <v>47312834</v>
      </c>
      <c r="G18" s="248">
        <f t="shared" si="0"/>
        <v>0</v>
      </c>
      <c r="H18" s="80" t="str">
        <f>IF(ABS(G18)&gt;0.01,$V$7,"")</f>
        <v/>
      </c>
      <c r="I18" s="198"/>
      <c r="J18" s="198"/>
      <c r="K18" s="198"/>
      <c r="L18" s="198"/>
      <c r="M18" s="198"/>
      <c r="N18" s="198"/>
      <c r="O18" s="195"/>
      <c r="P18" s="195"/>
      <c r="Q18" s="195"/>
      <c r="R18" s="195"/>
      <c r="S18" s="195"/>
      <c r="T18" s="195"/>
    </row>
    <row r="19" spans="2:20" ht="14.4" thickBot="1" x14ac:dyDescent="0.3">
      <c r="B19" s="249">
        <v>2021</v>
      </c>
      <c r="C19" s="250">
        <v>3094338.39</v>
      </c>
      <c r="D19" s="250">
        <v>-2998143.36</v>
      </c>
      <c r="E19" s="251">
        <f>SUM(C19:D19)</f>
        <v>96195.030000000261</v>
      </c>
      <c r="F19" s="251">
        <f>IFERROR(VLOOKUP('1. Information Sheet'!$C$17,'4705'!$A:$H,8,FALSE),0)</f>
        <v>61853098.859999999</v>
      </c>
      <c r="G19" s="252">
        <f t="shared" si="0"/>
        <v>1.5552176329553145E-3</v>
      </c>
      <c r="H19" s="80" t="str">
        <f>IF(ABS(G19)&gt;0.01,$V$7,"")</f>
        <v/>
      </c>
      <c r="I19" s="198"/>
      <c r="J19" s="198"/>
      <c r="K19" s="198"/>
      <c r="L19" s="198"/>
      <c r="M19" s="198"/>
      <c r="N19" s="198"/>
      <c r="O19" s="195"/>
      <c r="P19" s="195"/>
      <c r="Q19" s="195"/>
      <c r="R19" s="195"/>
      <c r="S19" s="195"/>
      <c r="T19" s="195"/>
    </row>
    <row r="20" spans="2:20" ht="14.4" thickBot="1" x14ac:dyDescent="0.3">
      <c r="B20" s="253" t="s">
        <v>224</v>
      </c>
      <c r="C20" s="254">
        <f>SUM(C15:C19)</f>
        <v>3094338.39</v>
      </c>
      <c r="D20" s="254">
        <f>SUM(D15:D19)</f>
        <v>-2998143.36</v>
      </c>
      <c r="E20" s="254">
        <f>SUM(E15:E19)</f>
        <v>96195.030000000261</v>
      </c>
      <c r="F20" s="254">
        <f>IF('1. Information Sheet'!D21=2019,F19,IF('1. Information Sheet'!D21=2018,SUM(F18:F19),IF('1. Information Sheet'!D21=2017,SUM(F17:F19),IF('1. Information Sheet'!D21=2016,SUM(F16:F19),IF('1. Information Sheet'!D21=2015,SUM(F15:F19),0)))))</f>
        <v>0</v>
      </c>
      <c r="G20" s="255">
        <f t="shared" si="0"/>
        <v>0</v>
      </c>
      <c r="I20" s="80"/>
    </row>
    <row r="21" spans="2:20" x14ac:dyDescent="0.25">
      <c r="B21" s="151"/>
      <c r="C21" s="196"/>
      <c r="D21" s="196"/>
      <c r="E21" s="196"/>
      <c r="F21" s="196"/>
      <c r="G21" s="196"/>
    </row>
    <row r="22" spans="2:20" x14ac:dyDescent="0.25">
      <c r="B22" s="2" t="s">
        <v>225</v>
      </c>
      <c r="C22" s="196"/>
      <c r="D22" s="196"/>
      <c r="E22" s="196"/>
      <c r="F22" s="196"/>
      <c r="G22" s="196"/>
    </row>
    <row r="23" spans="2:20" ht="46.95" customHeight="1" x14ac:dyDescent="0.25">
      <c r="B23" s="341" t="s">
        <v>226</v>
      </c>
      <c r="C23" s="341"/>
      <c r="D23" s="341"/>
      <c r="E23" s="341"/>
      <c r="F23" s="341"/>
      <c r="G23" s="341"/>
    </row>
    <row r="24" spans="2:20" ht="28.2" customHeight="1" x14ac:dyDescent="0.25">
      <c r="B24" s="341" t="s">
        <v>227</v>
      </c>
      <c r="C24" s="341"/>
      <c r="D24" s="341"/>
      <c r="E24" s="341"/>
      <c r="F24" s="341"/>
      <c r="G24" s="341"/>
    </row>
    <row r="26" spans="2:20" x14ac:dyDescent="0.25">
      <c r="B26" s="80"/>
      <c r="C26" s="80"/>
    </row>
    <row r="27" spans="2:20" x14ac:dyDescent="0.25">
      <c r="B27" s="80"/>
      <c r="C27" s="80"/>
    </row>
    <row r="28" spans="2:20" x14ac:dyDescent="0.25">
      <c r="B28" s="80"/>
      <c r="C28" s="80"/>
    </row>
    <row r="29" spans="2:20" ht="16.95" hidden="1" customHeight="1" x14ac:dyDescent="0.25">
      <c r="B29" s="37" t="s">
        <v>228</v>
      </c>
      <c r="C29" s="80"/>
    </row>
    <row r="30" spans="2:20" ht="15.6" customHeight="1" x14ac:dyDescent="0.25">
      <c r="B30" s="37"/>
      <c r="C30" s="80"/>
    </row>
    <row r="31" spans="2:20" ht="14.4" hidden="1" thickBot="1" x14ac:dyDescent="0.3">
      <c r="B31" s="155">
        <v>2016</v>
      </c>
      <c r="C31" s="80"/>
    </row>
    <row r="32" spans="2:20" hidden="1" x14ac:dyDescent="0.25">
      <c r="B32" s="342"/>
      <c r="C32" s="343"/>
      <c r="D32" s="343"/>
      <c r="E32" s="343"/>
      <c r="F32" s="343"/>
      <c r="G32" s="344"/>
    </row>
    <row r="33" spans="2:9" s="43" customFormat="1" hidden="1" x14ac:dyDescent="0.25">
      <c r="B33" s="345"/>
      <c r="C33" s="346"/>
      <c r="D33" s="346"/>
      <c r="E33" s="346"/>
      <c r="F33" s="346"/>
      <c r="G33" s="347"/>
      <c r="I33" s="80"/>
    </row>
    <row r="34" spans="2:9" s="43" customFormat="1" hidden="1" x14ac:dyDescent="0.25">
      <c r="B34" s="345"/>
      <c r="C34" s="346"/>
      <c r="D34" s="346"/>
      <c r="E34" s="346"/>
      <c r="F34" s="346"/>
      <c r="G34" s="347"/>
    </row>
    <row r="35" spans="2:9" s="43" customFormat="1" hidden="1" x14ac:dyDescent="0.25">
      <c r="B35" s="345"/>
      <c r="C35" s="346"/>
      <c r="D35" s="346"/>
      <c r="E35" s="346"/>
      <c r="F35" s="346"/>
      <c r="G35" s="347"/>
    </row>
    <row r="36" spans="2:9" s="43" customFormat="1" hidden="1" x14ac:dyDescent="0.25">
      <c r="B36" s="345"/>
      <c r="C36" s="346"/>
      <c r="D36" s="346"/>
      <c r="E36" s="346"/>
      <c r="F36" s="346"/>
      <c r="G36" s="347"/>
    </row>
    <row r="37" spans="2:9" s="43" customFormat="1" ht="14.4" hidden="1" thickBot="1" x14ac:dyDescent="0.3">
      <c r="B37" s="348"/>
      <c r="C37" s="349"/>
      <c r="D37" s="349"/>
      <c r="E37" s="349"/>
      <c r="F37" s="349"/>
      <c r="G37" s="350"/>
    </row>
    <row r="39" spans="2:9" ht="14.4" hidden="1" thickBot="1" x14ac:dyDescent="0.3">
      <c r="B39" s="155">
        <v>2017</v>
      </c>
      <c r="C39" s="80"/>
    </row>
    <row r="40" spans="2:9" ht="14.25" hidden="1" customHeight="1" x14ac:dyDescent="0.25">
      <c r="B40" s="342"/>
      <c r="C40" s="343"/>
      <c r="D40" s="343"/>
      <c r="E40" s="343"/>
      <c r="F40" s="343"/>
      <c r="G40" s="344"/>
    </row>
    <row r="41" spans="2:9" ht="14.25" hidden="1" customHeight="1" x14ac:dyDescent="0.25">
      <c r="B41" s="345"/>
      <c r="C41" s="346"/>
      <c r="D41" s="346"/>
      <c r="E41" s="346"/>
      <c r="F41" s="346"/>
      <c r="G41" s="347"/>
    </row>
    <row r="42" spans="2:9" ht="14.25" hidden="1" customHeight="1" x14ac:dyDescent="0.25">
      <c r="B42" s="345"/>
      <c r="C42" s="346"/>
      <c r="D42" s="346"/>
      <c r="E42" s="346"/>
      <c r="F42" s="346"/>
      <c r="G42" s="347"/>
    </row>
    <row r="43" spans="2:9" ht="14.25" hidden="1" customHeight="1" x14ac:dyDescent="0.25">
      <c r="B43" s="345"/>
      <c r="C43" s="346"/>
      <c r="D43" s="346"/>
      <c r="E43" s="346"/>
      <c r="F43" s="346"/>
      <c r="G43" s="347"/>
    </row>
    <row r="44" spans="2:9" ht="14.25" hidden="1" customHeight="1" x14ac:dyDescent="0.25">
      <c r="B44" s="345"/>
      <c r="C44" s="346"/>
      <c r="D44" s="346"/>
      <c r="E44" s="346"/>
      <c r="F44" s="346"/>
      <c r="G44" s="347"/>
    </row>
    <row r="45" spans="2:9" ht="15" hidden="1" customHeight="1" thickBot="1" x14ac:dyDescent="0.3">
      <c r="B45" s="348"/>
      <c r="C45" s="349"/>
      <c r="D45" s="349"/>
      <c r="E45" s="349"/>
      <c r="F45" s="349"/>
      <c r="G45" s="350"/>
    </row>
    <row r="47" spans="2:9" ht="14.4" hidden="1" thickBot="1" x14ac:dyDescent="0.3">
      <c r="B47" s="155">
        <v>2018</v>
      </c>
      <c r="C47" s="80"/>
    </row>
    <row r="48" spans="2:9" ht="14.25" hidden="1" customHeight="1" x14ac:dyDescent="0.25">
      <c r="B48" s="342"/>
      <c r="C48" s="343"/>
      <c r="D48" s="343"/>
      <c r="E48" s="343"/>
      <c r="F48" s="343"/>
      <c r="G48" s="344"/>
    </row>
    <row r="49" spans="2:7" ht="14.25" hidden="1" customHeight="1" x14ac:dyDescent="0.25">
      <c r="B49" s="345"/>
      <c r="C49" s="346"/>
      <c r="D49" s="346"/>
      <c r="E49" s="346"/>
      <c r="F49" s="346"/>
      <c r="G49" s="347"/>
    </row>
    <row r="50" spans="2:7" ht="14.25" hidden="1" customHeight="1" x14ac:dyDescent="0.25">
      <c r="B50" s="345"/>
      <c r="C50" s="346"/>
      <c r="D50" s="346"/>
      <c r="E50" s="346"/>
      <c r="F50" s="346"/>
      <c r="G50" s="347"/>
    </row>
    <row r="51" spans="2:7" ht="14.25" hidden="1" customHeight="1" x14ac:dyDescent="0.25">
      <c r="B51" s="345"/>
      <c r="C51" s="346"/>
      <c r="D51" s="346"/>
      <c r="E51" s="346"/>
      <c r="F51" s="346"/>
      <c r="G51" s="347"/>
    </row>
    <row r="52" spans="2:7" ht="14.25" hidden="1" customHeight="1" x14ac:dyDescent="0.25">
      <c r="B52" s="345"/>
      <c r="C52" s="346"/>
      <c r="D52" s="346"/>
      <c r="E52" s="346"/>
      <c r="F52" s="346"/>
      <c r="G52" s="347"/>
    </row>
    <row r="53" spans="2:7" ht="15" hidden="1" customHeight="1" thickBot="1" x14ac:dyDescent="0.3">
      <c r="B53" s="348"/>
      <c r="C53" s="349"/>
      <c r="D53" s="349"/>
      <c r="E53" s="349"/>
      <c r="F53" s="349"/>
      <c r="G53" s="350"/>
    </row>
    <row r="55" spans="2:7" ht="14.4" hidden="1" thickBot="1" x14ac:dyDescent="0.3">
      <c r="B55" s="155">
        <v>2019</v>
      </c>
      <c r="C55" s="80"/>
    </row>
    <row r="56" spans="2:7" ht="14.25" hidden="1" customHeight="1" x14ac:dyDescent="0.25">
      <c r="B56" s="342"/>
      <c r="C56" s="343"/>
      <c r="D56" s="343"/>
      <c r="E56" s="343"/>
      <c r="F56" s="343"/>
      <c r="G56" s="344"/>
    </row>
    <row r="57" spans="2:7" ht="14.25" hidden="1" customHeight="1" x14ac:dyDescent="0.25">
      <c r="B57" s="345"/>
      <c r="C57" s="346"/>
      <c r="D57" s="346"/>
      <c r="E57" s="346"/>
      <c r="F57" s="346"/>
      <c r="G57" s="347"/>
    </row>
    <row r="58" spans="2:7" ht="14.25" hidden="1" customHeight="1" x14ac:dyDescent="0.25">
      <c r="B58" s="345"/>
      <c r="C58" s="346"/>
      <c r="D58" s="346"/>
      <c r="E58" s="346"/>
      <c r="F58" s="346"/>
      <c r="G58" s="347"/>
    </row>
    <row r="59" spans="2:7" ht="14.25" hidden="1" customHeight="1" x14ac:dyDescent="0.25">
      <c r="B59" s="345"/>
      <c r="C59" s="346"/>
      <c r="D59" s="346"/>
      <c r="E59" s="346"/>
      <c r="F59" s="346"/>
      <c r="G59" s="347"/>
    </row>
    <row r="60" spans="2:7" ht="14.25" hidden="1" customHeight="1" x14ac:dyDescent="0.25">
      <c r="B60" s="345"/>
      <c r="C60" s="346"/>
      <c r="D60" s="346"/>
      <c r="E60" s="346"/>
      <c r="F60" s="346"/>
      <c r="G60" s="347"/>
    </row>
    <row r="61" spans="2:7" ht="15" hidden="1" customHeight="1" thickBot="1" x14ac:dyDescent="0.3">
      <c r="B61" s="348"/>
      <c r="C61" s="349"/>
      <c r="D61" s="349"/>
      <c r="E61" s="349"/>
      <c r="F61" s="349"/>
      <c r="G61" s="350"/>
    </row>
    <row r="63" spans="2:7" ht="14.4" hidden="1" thickBot="1" x14ac:dyDescent="0.3">
      <c r="B63" s="155">
        <v>2020</v>
      </c>
      <c r="C63" s="80"/>
    </row>
    <row r="64" spans="2:7" ht="14.25" hidden="1" customHeight="1" x14ac:dyDescent="0.25">
      <c r="B64" s="342"/>
      <c r="C64" s="343"/>
      <c r="D64" s="343"/>
      <c r="E64" s="343"/>
      <c r="F64" s="343"/>
      <c r="G64" s="344"/>
    </row>
    <row r="65" spans="2:7" ht="14.25" hidden="1" customHeight="1" x14ac:dyDescent="0.25">
      <c r="B65" s="345"/>
      <c r="C65" s="346"/>
      <c r="D65" s="346"/>
      <c r="E65" s="346"/>
      <c r="F65" s="346"/>
      <c r="G65" s="347"/>
    </row>
    <row r="66" spans="2:7" ht="14.25" hidden="1" customHeight="1" x14ac:dyDescent="0.25">
      <c r="B66" s="345"/>
      <c r="C66" s="346"/>
      <c r="D66" s="346"/>
      <c r="E66" s="346"/>
      <c r="F66" s="346"/>
      <c r="G66" s="347"/>
    </row>
    <row r="67" spans="2:7" ht="14.25" hidden="1" customHeight="1" x14ac:dyDescent="0.25">
      <c r="B67" s="345"/>
      <c r="C67" s="346"/>
      <c r="D67" s="346"/>
      <c r="E67" s="346"/>
      <c r="F67" s="346"/>
      <c r="G67" s="347"/>
    </row>
    <row r="68" spans="2:7" ht="14.25" hidden="1" customHeight="1" x14ac:dyDescent="0.25">
      <c r="B68" s="345"/>
      <c r="C68" s="346"/>
      <c r="D68" s="346"/>
      <c r="E68" s="346"/>
      <c r="F68" s="346"/>
      <c r="G68" s="347"/>
    </row>
    <row r="69" spans="2:7" ht="15" hidden="1" customHeight="1" thickBot="1" x14ac:dyDescent="0.3">
      <c r="B69" s="348"/>
      <c r="C69" s="349"/>
      <c r="D69" s="349"/>
      <c r="E69" s="349"/>
      <c r="F69" s="349"/>
      <c r="G69" s="350"/>
    </row>
    <row r="71" spans="2:7" x14ac:dyDescent="0.25">
      <c r="B71" s="155"/>
      <c r="C71" s="80"/>
    </row>
    <row r="72" spans="2:7" x14ac:dyDescent="0.25">
      <c r="B72" s="351"/>
      <c r="C72" s="351"/>
      <c r="D72" s="351"/>
      <c r="E72" s="351"/>
      <c r="F72" s="351"/>
      <c r="G72" s="351"/>
    </row>
    <row r="73" spans="2:7" x14ac:dyDescent="0.25">
      <c r="B73" s="351"/>
      <c r="C73" s="351"/>
      <c r="D73" s="351"/>
      <c r="E73" s="351"/>
      <c r="F73" s="351"/>
      <c r="G73" s="351"/>
    </row>
    <row r="74" spans="2:7" x14ac:dyDescent="0.25">
      <c r="B74" s="351"/>
      <c r="C74" s="351"/>
      <c r="D74" s="351"/>
      <c r="E74" s="351"/>
      <c r="F74" s="351"/>
      <c r="G74" s="351"/>
    </row>
    <row r="75" spans="2:7" x14ac:dyDescent="0.25">
      <c r="B75" s="351"/>
      <c r="C75" s="351"/>
      <c r="D75" s="351"/>
      <c r="E75" s="351"/>
      <c r="F75" s="351"/>
      <c r="G75" s="351"/>
    </row>
    <row r="76" spans="2:7" x14ac:dyDescent="0.25">
      <c r="B76" s="351"/>
      <c r="C76" s="351"/>
      <c r="D76" s="351"/>
      <c r="E76" s="351"/>
      <c r="F76" s="351"/>
      <c r="G76" s="351"/>
    </row>
    <row r="77" spans="2:7" x14ac:dyDescent="0.25">
      <c r="B77" s="351"/>
      <c r="C77" s="351"/>
      <c r="D77" s="351"/>
      <c r="E77" s="351"/>
      <c r="F77" s="351"/>
      <c r="G77" s="351"/>
    </row>
  </sheetData>
  <sheetProtection algorithmName="SHA-512" hashValue="40F7uBzz+otsB3MUvXqgvNN7FC6gpuB95ikh93fV2BlD9f8OQy5VQfwe57rzLfXe50HhxXauM5oB4ycgm9P9Cw==" saltValue="9ixk7g1K+ocFmEMep6Ij1A==" spinCount="100000" sheet="1" objects="1" scenarios="1"/>
  <mergeCells count="12">
    <mergeCell ref="B72:G77"/>
    <mergeCell ref="C13:E13"/>
    <mergeCell ref="F13:F14"/>
    <mergeCell ref="G13:G14"/>
    <mergeCell ref="B56:G61"/>
    <mergeCell ref="B64:G69"/>
    <mergeCell ref="R10:W12"/>
    <mergeCell ref="B23:G23"/>
    <mergeCell ref="B32:G37"/>
    <mergeCell ref="B40:G45"/>
    <mergeCell ref="B48:G53"/>
    <mergeCell ref="B24:G24"/>
  </mergeCells>
  <pageMargins left="0.70866141732283472" right="0.70866141732283472" top="0.74803149606299213" bottom="0.74803149606299213" header="0.31496062992125984" footer="0.31496062992125984"/>
  <pageSetup scale="47" orientation="portrait" horizontalDpi="90" verticalDpi="90" r:id="rId1"/>
  <ignoredErrors>
    <ignoredError sqref="E15:E1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5:AC164"/>
  <sheetViews>
    <sheetView showGridLines="0" view="pageBreakPreview" topLeftCell="A121" zoomScale="60" zoomScaleNormal="70" workbookViewId="0">
      <selection activeCell="L95" sqref="L95"/>
    </sheetView>
  </sheetViews>
  <sheetFormatPr defaultColWidth="9" defaultRowHeight="13.8" x14ac:dyDescent="0.25"/>
  <cols>
    <col min="1" max="9" width="9" style="1"/>
    <col min="10" max="12" width="22" style="151" customWidth="1"/>
    <col min="13" max="14" width="9" style="151"/>
    <col min="15" max="15" width="17" style="151" customWidth="1"/>
    <col min="16" max="21" width="9" style="1"/>
    <col min="22" max="22" width="22" style="1" customWidth="1"/>
    <col min="23" max="23" width="18.33203125" style="1" customWidth="1"/>
    <col min="24" max="24" width="23.6640625" style="1" customWidth="1"/>
    <col min="25" max="16384" width="9" style="1"/>
  </cols>
  <sheetData>
    <row r="15" spans="1:22" ht="17.399999999999999" x14ac:dyDescent="0.3">
      <c r="A15" s="1" t="s">
        <v>229</v>
      </c>
      <c r="B15" s="207" t="s">
        <v>230</v>
      </c>
    </row>
    <row r="16" spans="1:22" x14ac:dyDescent="0.25">
      <c r="V16" s="151"/>
    </row>
    <row r="17" spans="1:24" x14ac:dyDescent="0.25">
      <c r="B17" s="374" t="s">
        <v>231</v>
      </c>
      <c r="C17" s="375"/>
      <c r="D17" s="375"/>
      <c r="E17" s="375"/>
      <c r="F17" s="375"/>
      <c r="G17" s="375"/>
      <c r="H17" s="375"/>
      <c r="I17" s="375"/>
      <c r="J17" s="375"/>
      <c r="K17" s="375"/>
      <c r="L17" s="376"/>
      <c r="N17" s="377" t="s">
        <v>218</v>
      </c>
      <c r="O17" s="377"/>
      <c r="P17" s="377"/>
      <c r="Q17" s="377"/>
      <c r="R17" s="377"/>
      <c r="S17" s="377"/>
      <c r="T17" s="377"/>
      <c r="U17" s="377"/>
      <c r="V17" s="377"/>
      <c r="W17" s="377"/>
      <c r="X17" s="377"/>
    </row>
    <row r="18" spans="1:24" ht="41.4" x14ac:dyDescent="0.25">
      <c r="B18" s="297" t="s">
        <v>232</v>
      </c>
      <c r="C18" s="297"/>
      <c r="D18" s="297"/>
      <c r="E18" s="297"/>
      <c r="F18" s="297"/>
      <c r="G18" s="297"/>
      <c r="H18" s="297"/>
      <c r="I18" s="297"/>
      <c r="J18" s="78" t="s">
        <v>188</v>
      </c>
      <c r="K18" s="65" t="s">
        <v>233</v>
      </c>
      <c r="L18" s="65" t="s">
        <v>234</v>
      </c>
      <c r="M18" s="1"/>
      <c r="N18" s="297" t="s">
        <v>232</v>
      </c>
      <c r="O18" s="297"/>
      <c r="P18" s="297"/>
      <c r="Q18" s="297"/>
      <c r="R18" s="297"/>
      <c r="S18" s="297"/>
      <c r="T18" s="297"/>
      <c r="U18" s="297"/>
      <c r="V18" s="78" t="s">
        <v>188</v>
      </c>
      <c r="W18" s="65" t="s">
        <v>235</v>
      </c>
      <c r="X18" s="65" t="s">
        <v>234</v>
      </c>
    </row>
    <row r="19" spans="1:24" x14ac:dyDescent="0.25">
      <c r="B19" s="11">
        <v>1</v>
      </c>
      <c r="C19" s="319" t="s">
        <v>236</v>
      </c>
      <c r="D19" s="320"/>
      <c r="E19" s="320"/>
      <c r="F19" s="320"/>
      <c r="G19" s="320"/>
      <c r="H19" s="320"/>
      <c r="I19" s="321"/>
      <c r="J19" s="164">
        <f>-218598.08-762383.87+250850.66-140272.24-553602.47</f>
        <v>-1424006</v>
      </c>
      <c r="K19" s="165" t="s">
        <v>214</v>
      </c>
      <c r="L19" s="164"/>
      <c r="N19" s="11">
        <v>1</v>
      </c>
      <c r="O19" s="319" t="s">
        <v>236</v>
      </c>
      <c r="P19" s="320"/>
      <c r="Q19" s="320"/>
      <c r="R19" s="320"/>
      <c r="S19" s="320"/>
      <c r="T19" s="320"/>
      <c r="U19" s="321"/>
      <c r="V19" s="164">
        <f>218598+762384-250852+140273+553602</f>
        <v>1424005</v>
      </c>
      <c r="W19" s="165" t="s">
        <v>214</v>
      </c>
      <c r="X19" s="164"/>
    </row>
    <row r="20" spans="1:24" x14ac:dyDescent="0.25">
      <c r="B20" s="11">
        <v>2</v>
      </c>
      <c r="C20" s="318" t="s">
        <v>464</v>
      </c>
      <c r="D20" s="318"/>
      <c r="E20" s="318"/>
      <c r="F20" s="318"/>
      <c r="G20" s="318"/>
      <c r="H20" s="318"/>
      <c r="I20" s="318"/>
      <c r="J20" s="164">
        <v>80033</v>
      </c>
      <c r="K20" s="165" t="s">
        <v>214</v>
      </c>
      <c r="L20" s="164"/>
      <c r="N20" s="11">
        <v>2</v>
      </c>
      <c r="O20" s="319" t="s">
        <v>237</v>
      </c>
      <c r="P20" s="320"/>
      <c r="Q20" s="320"/>
      <c r="R20" s="320"/>
      <c r="S20" s="320"/>
      <c r="T20" s="320"/>
      <c r="U20" s="321"/>
      <c r="V20" s="164">
        <f>138191-1937347+226394+1394839+363923</f>
        <v>186000</v>
      </c>
      <c r="W20" s="165" t="s">
        <v>214</v>
      </c>
      <c r="X20" s="164"/>
    </row>
    <row r="21" spans="1:24" x14ac:dyDescent="0.25">
      <c r="B21" s="11">
        <v>3</v>
      </c>
      <c r="C21" s="318" t="s">
        <v>465</v>
      </c>
      <c r="D21" s="318"/>
      <c r="E21" s="318"/>
      <c r="F21" s="318"/>
      <c r="G21" s="318"/>
      <c r="H21" s="318"/>
      <c r="I21" s="318"/>
      <c r="J21" s="164">
        <v>170666.77</v>
      </c>
      <c r="K21" s="165" t="s">
        <v>214</v>
      </c>
      <c r="L21" s="164"/>
      <c r="N21" s="11">
        <v>3</v>
      </c>
      <c r="O21" s="319" t="s">
        <v>466</v>
      </c>
      <c r="P21" s="320"/>
      <c r="Q21" s="320"/>
      <c r="R21" s="320"/>
      <c r="S21" s="320"/>
      <c r="T21" s="320"/>
      <c r="U21" s="321"/>
      <c r="V21" s="164">
        <v>124121</v>
      </c>
      <c r="W21" s="165" t="s">
        <v>214</v>
      </c>
      <c r="X21" s="164"/>
    </row>
    <row r="22" spans="1:24" x14ac:dyDescent="0.25">
      <c r="B22" s="11">
        <v>4</v>
      </c>
      <c r="C22" s="318"/>
      <c r="D22" s="318"/>
      <c r="E22" s="318"/>
      <c r="F22" s="318"/>
      <c r="G22" s="318"/>
      <c r="H22" s="318"/>
      <c r="I22" s="318"/>
      <c r="J22" s="164"/>
      <c r="K22" s="165"/>
      <c r="L22" s="164"/>
      <c r="N22" s="11">
        <v>4</v>
      </c>
      <c r="O22" s="319" t="s">
        <v>467</v>
      </c>
      <c r="P22" s="320"/>
      <c r="Q22" s="320"/>
      <c r="R22" s="320"/>
      <c r="S22" s="320"/>
      <c r="T22" s="320"/>
      <c r="U22" s="321"/>
      <c r="V22" s="164">
        <v>360.99</v>
      </c>
      <c r="W22" s="165" t="s">
        <v>214</v>
      </c>
      <c r="X22" s="164"/>
    </row>
    <row r="23" spans="1:24" x14ac:dyDescent="0.25">
      <c r="B23" s="11">
        <v>5</v>
      </c>
      <c r="C23" s="318"/>
      <c r="D23" s="318"/>
      <c r="E23" s="318"/>
      <c r="F23" s="318"/>
      <c r="G23" s="318"/>
      <c r="H23" s="318"/>
      <c r="I23" s="318"/>
      <c r="J23" s="164"/>
      <c r="K23" s="165"/>
      <c r="L23" s="164"/>
      <c r="N23" s="11">
        <v>5</v>
      </c>
      <c r="O23" s="319" t="s">
        <v>468</v>
      </c>
      <c r="P23" s="320"/>
      <c r="Q23" s="320"/>
      <c r="R23" s="320"/>
      <c r="S23" s="320"/>
      <c r="T23" s="320"/>
      <c r="U23" s="321"/>
      <c r="V23" s="164">
        <f>601587.65+965692.83</f>
        <v>1567280.48</v>
      </c>
      <c r="W23" s="165" t="s">
        <v>214</v>
      </c>
      <c r="X23" s="164"/>
    </row>
    <row r="24" spans="1:24" x14ac:dyDescent="0.25">
      <c r="B24" s="11">
        <v>6</v>
      </c>
      <c r="C24" s="318"/>
      <c r="D24" s="318"/>
      <c r="E24" s="318"/>
      <c r="F24" s="318"/>
      <c r="G24" s="318"/>
      <c r="H24" s="318"/>
      <c r="I24" s="318"/>
      <c r="J24" s="164"/>
      <c r="K24" s="165"/>
      <c r="L24" s="164"/>
      <c r="N24" s="11">
        <v>6</v>
      </c>
      <c r="O24" s="318"/>
      <c r="P24" s="318"/>
      <c r="Q24" s="318"/>
      <c r="R24" s="318"/>
      <c r="S24" s="318"/>
      <c r="T24" s="318"/>
      <c r="U24" s="318"/>
      <c r="V24" s="164"/>
      <c r="W24" s="165"/>
      <c r="X24" s="164"/>
    </row>
    <row r="25" spans="1:24" x14ac:dyDescent="0.25">
      <c r="B25" s="11">
        <v>7</v>
      </c>
      <c r="C25" s="318"/>
      <c r="D25" s="318"/>
      <c r="E25" s="318"/>
      <c r="F25" s="318"/>
      <c r="G25" s="318"/>
      <c r="H25" s="318"/>
      <c r="I25" s="318"/>
      <c r="J25" s="164"/>
      <c r="K25" s="165"/>
      <c r="L25" s="164"/>
      <c r="N25" s="11">
        <v>7</v>
      </c>
      <c r="O25" s="318"/>
      <c r="P25" s="318"/>
      <c r="Q25" s="318"/>
      <c r="R25" s="318"/>
      <c r="S25" s="318"/>
      <c r="T25" s="318"/>
      <c r="U25" s="318"/>
      <c r="V25" s="164"/>
      <c r="W25" s="165"/>
      <c r="X25" s="164"/>
    </row>
    <row r="26" spans="1:24" x14ac:dyDescent="0.25">
      <c r="B26" s="11">
        <v>8</v>
      </c>
      <c r="C26" s="318"/>
      <c r="D26" s="318"/>
      <c r="E26" s="318"/>
      <c r="F26" s="318"/>
      <c r="G26" s="318"/>
      <c r="H26" s="318"/>
      <c r="I26" s="318"/>
      <c r="J26" s="164"/>
      <c r="K26" s="165"/>
      <c r="L26" s="164"/>
      <c r="N26" s="11">
        <v>8</v>
      </c>
      <c r="O26" s="318"/>
      <c r="P26" s="318"/>
      <c r="Q26" s="318"/>
      <c r="R26" s="318"/>
      <c r="S26" s="318"/>
      <c r="T26" s="318"/>
      <c r="U26" s="318"/>
      <c r="V26" s="164"/>
      <c r="W26" s="165"/>
      <c r="X26" s="164"/>
    </row>
    <row r="27" spans="1:24" x14ac:dyDescent="0.25">
      <c r="B27" s="381" t="s">
        <v>238</v>
      </c>
      <c r="C27" s="381"/>
      <c r="D27" s="381"/>
      <c r="E27" s="381"/>
      <c r="F27" s="381"/>
      <c r="G27" s="381"/>
      <c r="H27" s="381"/>
      <c r="I27" s="381"/>
      <c r="J27" s="152">
        <f>SUM(J19:J26)</f>
        <v>-1173306.23</v>
      </c>
      <c r="N27" s="381" t="s">
        <v>238</v>
      </c>
      <c r="O27" s="381"/>
      <c r="P27" s="381"/>
      <c r="Q27" s="381"/>
      <c r="R27" s="381"/>
      <c r="S27" s="381"/>
      <c r="T27" s="381"/>
      <c r="U27" s="381"/>
      <c r="V27" s="152">
        <f>SUM(V19:V26)</f>
        <v>3301767.4699999997</v>
      </c>
      <c r="W27" s="151"/>
    </row>
    <row r="28" spans="1:24" x14ac:dyDescent="0.25">
      <c r="B28" s="378" t="s">
        <v>239</v>
      </c>
      <c r="C28" s="379"/>
      <c r="D28" s="379"/>
      <c r="E28" s="379"/>
      <c r="F28" s="379"/>
      <c r="G28" s="379"/>
      <c r="H28" s="379"/>
      <c r="I28" s="380"/>
      <c r="J28" s="164"/>
      <c r="K28" s="153"/>
      <c r="L28" s="153"/>
      <c r="N28" s="378" t="s">
        <v>239</v>
      </c>
      <c r="O28" s="379"/>
      <c r="P28" s="379"/>
      <c r="Q28" s="379"/>
      <c r="R28" s="379"/>
      <c r="S28" s="379"/>
      <c r="T28" s="379"/>
      <c r="U28" s="380"/>
      <c r="V28" s="164"/>
      <c r="W28" s="153"/>
    </row>
    <row r="29" spans="1:24" x14ac:dyDescent="0.25">
      <c r="B29" s="378" t="s">
        <v>185</v>
      </c>
      <c r="C29" s="379"/>
      <c r="D29" s="379"/>
      <c r="E29" s="379"/>
      <c r="F29" s="379"/>
      <c r="G29" s="379"/>
      <c r="H29" s="379"/>
      <c r="I29" s="380"/>
      <c r="J29" s="154">
        <f>J27-J28</f>
        <v>-1173306.23</v>
      </c>
      <c r="K29" s="1"/>
      <c r="L29" s="1"/>
      <c r="N29" s="378" t="s">
        <v>185</v>
      </c>
      <c r="O29" s="379"/>
      <c r="P29" s="379"/>
      <c r="Q29" s="379"/>
      <c r="R29" s="379"/>
      <c r="S29" s="379"/>
      <c r="T29" s="379"/>
      <c r="U29" s="380"/>
      <c r="V29" s="154">
        <f>V27-V28</f>
        <v>3301767.4699999997</v>
      </c>
    </row>
    <row r="32" spans="1:24" ht="17.399999999999999" x14ac:dyDescent="0.3">
      <c r="A32" s="1" t="s">
        <v>240</v>
      </c>
      <c r="B32" s="207" t="s">
        <v>241</v>
      </c>
    </row>
    <row r="34" spans="1:26" x14ac:dyDescent="0.25">
      <c r="B34" s="2" t="s">
        <v>225</v>
      </c>
    </row>
    <row r="35" spans="1:26" ht="15" customHeight="1" x14ac:dyDescent="0.25">
      <c r="B35" s="1" t="s">
        <v>242</v>
      </c>
      <c r="W35" s="341"/>
      <c r="X35" s="341"/>
      <c r="Y35" s="341"/>
      <c r="Z35" s="341"/>
    </row>
    <row r="36" spans="1:26" x14ac:dyDescent="0.25">
      <c r="B36" s="1" t="s">
        <v>243</v>
      </c>
      <c r="W36" s="341"/>
      <c r="X36" s="341"/>
      <c r="Y36" s="341"/>
      <c r="Z36" s="341"/>
    </row>
    <row r="37" spans="1:26" x14ac:dyDescent="0.25">
      <c r="B37" s="1" t="s">
        <v>244</v>
      </c>
      <c r="W37" s="341"/>
      <c r="X37" s="341"/>
      <c r="Y37" s="341"/>
      <c r="Z37" s="341"/>
    </row>
    <row r="38" spans="1:26" ht="29.25" customHeight="1" x14ac:dyDescent="0.25">
      <c r="B38" s="341" t="s">
        <v>245</v>
      </c>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row>
    <row r="39" spans="1:26" ht="53.25" customHeight="1" x14ac:dyDescent="0.25">
      <c r="B39" s="382" t="s">
        <v>246</v>
      </c>
      <c r="C39" s="382"/>
      <c r="D39" s="382"/>
      <c r="E39" s="382"/>
      <c r="F39" s="382"/>
      <c r="G39" s="382"/>
      <c r="H39" s="382"/>
      <c r="I39" s="382"/>
      <c r="J39" s="382"/>
      <c r="K39" s="382"/>
      <c r="L39" s="382"/>
      <c r="M39" s="382"/>
      <c r="N39" s="382"/>
      <c r="O39" s="382"/>
      <c r="P39" s="382"/>
      <c r="Q39" s="382"/>
      <c r="R39" s="382"/>
      <c r="S39" s="382"/>
      <c r="T39" s="382"/>
      <c r="U39" s="382"/>
      <c r="V39" s="382"/>
      <c r="W39" s="341"/>
      <c r="X39" s="341"/>
      <c r="Y39" s="341"/>
      <c r="Z39" s="341"/>
    </row>
    <row r="40" spans="1:26" x14ac:dyDescent="0.25">
      <c r="P40" s="151"/>
    </row>
    <row r="41" spans="1:26" x14ac:dyDescent="0.25">
      <c r="A41" s="27"/>
      <c r="B41" s="374" t="s">
        <v>231</v>
      </c>
      <c r="C41" s="375"/>
      <c r="D41" s="375"/>
      <c r="E41" s="375"/>
      <c r="F41" s="375"/>
      <c r="G41" s="375"/>
      <c r="H41" s="375"/>
      <c r="I41" s="375"/>
      <c r="J41" s="375"/>
      <c r="K41" s="376"/>
      <c r="L41" s="155"/>
      <c r="M41" s="27"/>
      <c r="N41" s="377" t="s">
        <v>218</v>
      </c>
      <c r="O41" s="377"/>
      <c r="P41" s="377"/>
      <c r="Q41" s="377"/>
      <c r="R41" s="377"/>
      <c r="S41" s="377"/>
      <c r="T41" s="377"/>
      <c r="U41" s="377"/>
      <c r="V41" s="377"/>
      <c r="W41" s="377"/>
    </row>
    <row r="42" spans="1:26" ht="27.6" x14ac:dyDescent="0.25">
      <c r="A42" s="156" t="s">
        <v>4</v>
      </c>
      <c r="B42" s="297" t="s">
        <v>232</v>
      </c>
      <c r="C42" s="297"/>
      <c r="D42" s="297"/>
      <c r="E42" s="297"/>
      <c r="F42" s="297"/>
      <c r="G42" s="297"/>
      <c r="H42" s="297"/>
      <c r="I42" s="297"/>
      <c r="J42" s="78" t="s">
        <v>188</v>
      </c>
      <c r="K42" s="78" t="s">
        <v>247</v>
      </c>
      <c r="L42" s="122"/>
      <c r="M42" s="156" t="s">
        <v>4</v>
      </c>
      <c r="N42" s="297" t="s">
        <v>232</v>
      </c>
      <c r="O42" s="297"/>
      <c r="P42" s="297"/>
      <c r="Q42" s="297"/>
      <c r="R42" s="297"/>
      <c r="S42" s="297"/>
      <c r="T42" s="297"/>
      <c r="U42" s="297"/>
      <c r="V42" s="78" t="s">
        <v>188</v>
      </c>
      <c r="W42" s="65" t="s">
        <v>247</v>
      </c>
    </row>
    <row r="43" spans="1:26" ht="15" customHeight="1" x14ac:dyDescent="0.3">
      <c r="A43" s="166">
        <v>2021</v>
      </c>
      <c r="B43" s="366" t="s">
        <v>248</v>
      </c>
      <c r="C43" s="367"/>
      <c r="D43" s="367"/>
      <c r="E43" s="367"/>
      <c r="F43" s="367"/>
      <c r="G43" s="367"/>
      <c r="H43" s="367"/>
      <c r="I43" s="367"/>
      <c r="J43" s="367"/>
      <c r="K43" s="368"/>
      <c r="L43" s="157"/>
      <c r="M43" s="166">
        <v>2021</v>
      </c>
      <c r="N43" s="366" t="s">
        <v>248</v>
      </c>
      <c r="O43" s="367"/>
      <c r="P43" s="367"/>
      <c r="Q43" s="367"/>
      <c r="R43" s="367"/>
      <c r="S43" s="367"/>
      <c r="T43" s="367"/>
      <c r="U43" s="367"/>
      <c r="V43" s="367"/>
      <c r="W43" s="368"/>
    </row>
    <row r="44" spans="1:26" x14ac:dyDescent="0.25">
      <c r="A44" s="158"/>
      <c r="B44" s="11">
        <v>1</v>
      </c>
      <c r="C44" s="365" t="str">
        <f>IF(K19="Yes",C19,"")</f>
        <v xml:space="preserve">CT 148 true-up of GA Charges based on actual RPP volumes </v>
      </c>
      <c r="D44" s="365"/>
      <c r="E44" s="365"/>
      <c r="F44" s="365"/>
      <c r="G44" s="365"/>
      <c r="H44" s="365"/>
      <c r="I44" s="365"/>
      <c r="J44" s="246">
        <f>IF(K19="Yes",-J19,"")</f>
        <v>1424006</v>
      </c>
      <c r="K44" s="166">
        <v>2021</v>
      </c>
      <c r="L44" s="159"/>
      <c r="M44" s="158"/>
      <c r="N44" s="11">
        <v>1</v>
      </c>
      <c r="O44" s="365" t="str">
        <f>IF(W19="Yes",O19,"")</f>
        <v xml:space="preserve">CT 148 true-up of GA Charges based on actual RPP volumes </v>
      </c>
      <c r="P44" s="365"/>
      <c r="Q44" s="365"/>
      <c r="R44" s="365"/>
      <c r="S44" s="365"/>
      <c r="T44" s="365"/>
      <c r="U44" s="365"/>
      <c r="V44" s="246">
        <f>IF(W19="Yes",-V19,"")</f>
        <v>-1424005</v>
      </c>
      <c r="W44" s="166">
        <v>2021</v>
      </c>
    </row>
    <row r="45" spans="1:26" x14ac:dyDescent="0.25">
      <c r="A45" s="158"/>
      <c r="B45" s="11">
        <v>2</v>
      </c>
      <c r="C45" s="365" t="str">
        <f t="shared" ref="C45:C51" si="0">IF(K20="Yes",C20,"")</f>
        <v>Correction Oakville Glenorchy GA Rate Rider coded to WMS is error</v>
      </c>
      <c r="D45" s="365"/>
      <c r="E45" s="365"/>
      <c r="F45" s="365"/>
      <c r="G45" s="365"/>
      <c r="H45" s="365"/>
      <c r="I45" s="365"/>
      <c r="J45" s="246">
        <f t="shared" ref="J45:J51" si="1">IF(K20="Yes",-J20,"")</f>
        <v>-80033</v>
      </c>
      <c r="K45" s="166">
        <v>2021</v>
      </c>
      <c r="L45" s="159"/>
      <c r="M45" s="158"/>
      <c r="N45" s="11">
        <v>2</v>
      </c>
      <c r="O45" s="365" t="str">
        <f t="shared" ref="O45:O51" si="2">IF(W20="Yes",O20,"")</f>
        <v>CT 1142/142 true-up based on actuals</v>
      </c>
      <c r="P45" s="365"/>
      <c r="Q45" s="365"/>
      <c r="R45" s="365"/>
      <c r="S45" s="365"/>
      <c r="T45" s="365"/>
      <c r="U45" s="365"/>
      <c r="V45" s="246">
        <f t="shared" ref="V45:V51" si="3">IF(W20="Yes",-V20,"")</f>
        <v>-186000</v>
      </c>
      <c r="W45" s="166">
        <v>2021</v>
      </c>
    </row>
    <row r="46" spans="1:26" x14ac:dyDescent="0.25">
      <c r="A46" s="158"/>
      <c r="B46" s="11">
        <v>3</v>
      </c>
      <c r="C46" s="365" t="str">
        <f t="shared" si="0"/>
        <v>Current year Accrual for GA True-up</v>
      </c>
      <c r="D46" s="365"/>
      <c r="E46" s="365"/>
      <c r="F46" s="365"/>
      <c r="G46" s="365"/>
      <c r="H46" s="365"/>
      <c r="I46" s="365"/>
      <c r="J46" s="246">
        <f t="shared" si="1"/>
        <v>-170666.77</v>
      </c>
      <c r="K46" s="166">
        <v>2021</v>
      </c>
      <c r="L46" s="159"/>
      <c r="M46" s="158"/>
      <c r="N46" s="11">
        <v>3</v>
      </c>
      <c r="O46" s="365" t="str">
        <f t="shared" si="2"/>
        <v>Current year accrual for SOP/Microfit timing differences</v>
      </c>
      <c r="P46" s="365"/>
      <c r="Q46" s="365"/>
      <c r="R46" s="365"/>
      <c r="S46" s="365"/>
      <c r="T46" s="365"/>
      <c r="U46" s="365"/>
      <c r="V46" s="246">
        <f t="shared" si="3"/>
        <v>-124121</v>
      </c>
      <c r="W46" s="166">
        <v>2021</v>
      </c>
    </row>
    <row r="47" spans="1:26" x14ac:dyDescent="0.25">
      <c r="A47" s="158"/>
      <c r="B47" s="11">
        <v>4</v>
      </c>
      <c r="C47" s="365" t="str">
        <f t="shared" si="0"/>
        <v/>
      </c>
      <c r="D47" s="365"/>
      <c r="E47" s="365"/>
      <c r="F47" s="365"/>
      <c r="G47" s="365"/>
      <c r="H47" s="365"/>
      <c r="I47" s="365"/>
      <c r="J47" s="246" t="str">
        <f t="shared" si="1"/>
        <v/>
      </c>
      <c r="K47" s="166"/>
      <c r="L47" s="159"/>
      <c r="M47" s="158"/>
      <c r="N47" s="11">
        <v>4</v>
      </c>
      <c r="O47" s="365" t="str">
        <f t="shared" si="2"/>
        <v>Correction to Oakville Glenorchy electiricity losses</v>
      </c>
      <c r="P47" s="365"/>
      <c r="Q47" s="365"/>
      <c r="R47" s="365"/>
      <c r="S47" s="365"/>
      <c r="T47" s="365"/>
      <c r="U47" s="365"/>
      <c r="V47" s="246">
        <f t="shared" si="3"/>
        <v>-360.99</v>
      </c>
      <c r="W47" s="166">
        <v>2021</v>
      </c>
    </row>
    <row r="48" spans="1:26" x14ac:dyDescent="0.25">
      <c r="A48" s="158"/>
      <c r="B48" s="11">
        <v>5</v>
      </c>
      <c r="C48" s="365" t="str">
        <f t="shared" si="0"/>
        <v/>
      </c>
      <c r="D48" s="365"/>
      <c r="E48" s="365"/>
      <c r="F48" s="365"/>
      <c r="G48" s="365"/>
      <c r="H48" s="365"/>
      <c r="I48" s="365"/>
      <c r="J48" s="246" t="str">
        <f t="shared" si="1"/>
        <v/>
      </c>
      <c r="K48" s="166"/>
      <c r="L48" s="159"/>
      <c r="M48" s="158"/>
      <c r="N48" s="11">
        <v>5</v>
      </c>
      <c r="O48" s="365" t="str">
        <f t="shared" si="2"/>
        <v>Correction to coding IESO Charge Code 102 - from Energy to WMS</v>
      </c>
      <c r="P48" s="365"/>
      <c r="Q48" s="365"/>
      <c r="R48" s="365"/>
      <c r="S48" s="365"/>
      <c r="T48" s="365"/>
      <c r="U48" s="365"/>
      <c r="V48" s="246">
        <f t="shared" si="3"/>
        <v>-1567280.48</v>
      </c>
      <c r="W48" s="166">
        <v>2021</v>
      </c>
    </row>
    <row r="49" spans="1:29" x14ac:dyDescent="0.25">
      <c r="A49" s="158"/>
      <c r="B49" s="11">
        <v>6</v>
      </c>
      <c r="C49" s="365" t="str">
        <f t="shared" si="0"/>
        <v/>
      </c>
      <c r="D49" s="365"/>
      <c r="E49" s="365"/>
      <c r="F49" s="365"/>
      <c r="G49" s="365"/>
      <c r="H49" s="365"/>
      <c r="I49" s="365"/>
      <c r="J49" s="246" t="str">
        <f t="shared" si="1"/>
        <v/>
      </c>
      <c r="K49" s="166"/>
      <c r="L49" s="159"/>
      <c r="M49" s="158"/>
      <c r="N49" s="11">
        <v>6</v>
      </c>
      <c r="O49" s="365" t="str">
        <f t="shared" si="2"/>
        <v/>
      </c>
      <c r="P49" s="365"/>
      <c r="Q49" s="365"/>
      <c r="R49" s="365"/>
      <c r="S49" s="365"/>
      <c r="T49" s="365"/>
      <c r="U49" s="365"/>
      <c r="V49" s="246" t="str">
        <f t="shared" si="3"/>
        <v/>
      </c>
      <c r="W49" s="166"/>
    </row>
    <row r="50" spans="1:29" x14ac:dyDescent="0.25">
      <c r="A50" s="158"/>
      <c r="B50" s="11">
        <v>7</v>
      </c>
      <c r="C50" s="365" t="str">
        <f t="shared" si="0"/>
        <v/>
      </c>
      <c r="D50" s="365"/>
      <c r="E50" s="365"/>
      <c r="F50" s="365"/>
      <c r="G50" s="365"/>
      <c r="H50" s="365"/>
      <c r="I50" s="365"/>
      <c r="J50" s="246" t="str">
        <f t="shared" si="1"/>
        <v/>
      </c>
      <c r="K50" s="166"/>
      <c r="L50" s="159"/>
      <c r="M50" s="158"/>
      <c r="N50" s="11">
        <v>7</v>
      </c>
      <c r="O50" s="365" t="str">
        <f t="shared" si="2"/>
        <v/>
      </c>
      <c r="P50" s="365"/>
      <c r="Q50" s="365"/>
      <c r="R50" s="365"/>
      <c r="S50" s="365"/>
      <c r="T50" s="365"/>
      <c r="U50" s="365"/>
      <c r="V50" s="246" t="str">
        <f t="shared" si="3"/>
        <v/>
      </c>
      <c r="W50" s="166"/>
    </row>
    <row r="51" spans="1:29" x14ac:dyDescent="0.25">
      <c r="A51" s="158"/>
      <c r="B51" s="11">
        <v>8</v>
      </c>
      <c r="C51" s="365" t="str">
        <f t="shared" si="0"/>
        <v/>
      </c>
      <c r="D51" s="365"/>
      <c r="E51" s="365"/>
      <c r="F51" s="365"/>
      <c r="G51" s="365"/>
      <c r="H51" s="365"/>
      <c r="I51" s="365"/>
      <c r="J51" s="246" t="str">
        <f t="shared" si="1"/>
        <v/>
      </c>
      <c r="K51" s="166"/>
      <c r="L51" s="159"/>
      <c r="M51" s="158"/>
      <c r="N51" s="11">
        <v>8</v>
      </c>
      <c r="O51" s="365" t="str">
        <f t="shared" si="2"/>
        <v/>
      </c>
      <c r="P51" s="365"/>
      <c r="Q51" s="365"/>
      <c r="R51" s="365"/>
      <c r="S51" s="365"/>
      <c r="T51" s="365"/>
      <c r="U51" s="365"/>
      <c r="V51" s="246" t="str">
        <f t="shared" si="3"/>
        <v/>
      </c>
      <c r="W51" s="166"/>
    </row>
    <row r="52" spans="1:29" x14ac:dyDescent="0.25">
      <c r="A52" s="158"/>
      <c r="B52" s="358" t="s">
        <v>249</v>
      </c>
      <c r="C52" s="359"/>
      <c r="D52" s="359"/>
      <c r="E52" s="359"/>
      <c r="F52" s="359"/>
      <c r="G52" s="359"/>
      <c r="H52" s="359"/>
      <c r="I52" s="360"/>
      <c r="J52" s="152">
        <f>SUM(J44:J51)</f>
        <v>1173306.23</v>
      </c>
      <c r="K52" s="152"/>
      <c r="L52" s="160"/>
      <c r="M52" s="158"/>
      <c r="N52" s="358" t="s">
        <v>249</v>
      </c>
      <c r="O52" s="359"/>
      <c r="P52" s="359"/>
      <c r="Q52" s="359"/>
      <c r="R52" s="359"/>
      <c r="S52" s="359"/>
      <c r="T52" s="359"/>
      <c r="U52" s="360"/>
      <c r="V52" s="152">
        <f>SUM(V44:V51)</f>
        <v>-3301767.4699999997</v>
      </c>
      <c r="W52" s="11"/>
    </row>
    <row r="53" spans="1:29" ht="14.4" x14ac:dyDescent="0.3">
      <c r="A53" s="166"/>
      <c r="B53" s="366" t="s">
        <v>250</v>
      </c>
      <c r="C53" s="367"/>
      <c r="D53" s="367"/>
      <c r="E53" s="367"/>
      <c r="F53" s="367"/>
      <c r="G53" s="367"/>
      <c r="H53" s="367"/>
      <c r="I53" s="367"/>
      <c r="J53" s="367"/>
      <c r="K53" s="368"/>
      <c r="L53" s="157"/>
      <c r="M53" s="166"/>
      <c r="N53" s="369" t="s">
        <v>250</v>
      </c>
      <c r="O53" s="370"/>
      <c r="P53" s="370"/>
      <c r="Q53" s="370"/>
      <c r="R53" s="370"/>
      <c r="S53" s="370"/>
      <c r="T53" s="370"/>
      <c r="U53" s="370"/>
      <c r="V53" s="370"/>
      <c r="W53" s="370"/>
    </row>
    <row r="54" spans="1:29" ht="14.25" customHeight="1" x14ac:dyDescent="0.25">
      <c r="A54" s="158"/>
      <c r="B54" s="11">
        <v>1</v>
      </c>
      <c r="C54" s="371" t="s">
        <v>251</v>
      </c>
      <c r="D54" s="372"/>
      <c r="E54" s="372"/>
      <c r="F54" s="372"/>
      <c r="G54" s="372"/>
      <c r="H54" s="372"/>
      <c r="I54" s="373"/>
      <c r="J54" s="164"/>
      <c r="K54" s="166"/>
      <c r="L54" s="159"/>
      <c r="M54" s="158"/>
      <c r="N54" s="11">
        <v>1</v>
      </c>
      <c r="O54" s="371" t="s">
        <v>236</v>
      </c>
      <c r="P54" s="372"/>
      <c r="Q54" s="372"/>
      <c r="R54" s="372"/>
      <c r="S54" s="372"/>
      <c r="T54" s="372"/>
      <c r="U54" s="373"/>
      <c r="V54" s="164"/>
      <c r="W54" s="164"/>
      <c r="X54" s="161"/>
      <c r="Y54" s="161"/>
      <c r="Z54" s="161"/>
      <c r="AA54" s="161"/>
      <c r="AB54" s="161"/>
      <c r="AC54" s="161"/>
    </row>
    <row r="55" spans="1:29" x14ac:dyDescent="0.25">
      <c r="A55" s="158"/>
      <c r="B55" s="11">
        <v>2</v>
      </c>
      <c r="C55" s="365" t="s">
        <v>252</v>
      </c>
      <c r="D55" s="365"/>
      <c r="E55" s="365"/>
      <c r="F55" s="365"/>
      <c r="G55" s="365"/>
      <c r="H55" s="365"/>
      <c r="I55" s="365"/>
      <c r="J55" s="164"/>
      <c r="K55" s="166"/>
      <c r="L55" s="159"/>
      <c r="M55" s="158"/>
      <c r="N55" s="11">
        <v>2</v>
      </c>
      <c r="O55" s="365" t="s">
        <v>237</v>
      </c>
      <c r="P55" s="365"/>
      <c r="Q55" s="365"/>
      <c r="R55" s="365"/>
      <c r="S55" s="365"/>
      <c r="T55" s="365"/>
      <c r="U55" s="365"/>
      <c r="V55" s="164"/>
      <c r="W55" s="166"/>
    </row>
    <row r="56" spans="1:29" x14ac:dyDescent="0.25">
      <c r="A56" s="158"/>
      <c r="B56" s="11">
        <v>3</v>
      </c>
      <c r="C56" s="319" t="s">
        <v>236</v>
      </c>
      <c r="D56" s="320"/>
      <c r="E56" s="320"/>
      <c r="F56" s="320"/>
      <c r="G56" s="320"/>
      <c r="H56" s="320"/>
      <c r="I56" s="321"/>
      <c r="J56" s="164">
        <v>-208749</v>
      </c>
      <c r="K56" s="166">
        <v>2022</v>
      </c>
      <c r="L56" s="159"/>
      <c r="M56" s="158"/>
      <c r="N56" s="11">
        <v>3</v>
      </c>
      <c r="O56" s="365" t="s">
        <v>252</v>
      </c>
      <c r="P56" s="365"/>
      <c r="Q56" s="365"/>
      <c r="R56" s="365"/>
      <c r="S56" s="365"/>
      <c r="T56" s="365"/>
      <c r="U56" s="365"/>
      <c r="V56" s="164"/>
      <c r="W56" s="166"/>
    </row>
    <row r="57" spans="1:29" ht="13.95" customHeight="1" x14ac:dyDescent="0.25">
      <c r="A57" s="158"/>
      <c r="B57" s="11">
        <v>4</v>
      </c>
      <c r="C57" s="318"/>
      <c r="D57" s="318"/>
      <c r="E57" s="318"/>
      <c r="F57" s="318"/>
      <c r="G57" s="318"/>
      <c r="H57" s="318"/>
      <c r="I57" s="318"/>
      <c r="J57" s="164"/>
      <c r="K57" s="166"/>
      <c r="L57" s="159"/>
      <c r="M57" s="158"/>
      <c r="N57" s="11">
        <v>4</v>
      </c>
      <c r="O57" s="319" t="s">
        <v>236</v>
      </c>
      <c r="P57" s="320"/>
      <c r="Q57" s="320"/>
      <c r="R57" s="320"/>
      <c r="S57" s="320"/>
      <c r="T57" s="320"/>
      <c r="U57" s="321"/>
      <c r="V57" s="164">
        <v>208749</v>
      </c>
      <c r="W57" s="166">
        <v>2022</v>
      </c>
    </row>
    <row r="58" spans="1:29" ht="13.95" customHeight="1" x14ac:dyDescent="0.25">
      <c r="A58" s="158"/>
      <c r="B58" s="11">
        <v>5</v>
      </c>
      <c r="C58" s="361"/>
      <c r="D58" s="361"/>
      <c r="E58" s="361"/>
      <c r="F58" s="361"/>
      <c r="G58" s="361"/>
      <c r="H58" s="361"/>
      <c r="I58" s="361"/>
      <c r="J58" s="164"/>
      <c r="K58" s="166"/>
      <c r="L58" s="159"/>
      <c r="M58" s="158"/>
      <c r="N58" s="11">
        <v>5</v>
      </c>
      <c r="O58" s="319" t="s">
        <v>237</v>
      </c>
      <c r="P58" s="320"/>
      <c r="Q58" s="320"/>
      <c r="R58" s="320"/>
      <c r="S58" s="320"/>
      <c r="T58" s="320"/>
      <c r="U58" s="321"/>
      <c r="V58" s="164">
        <v>94875</v>
      </c>
      <c r="W58" s="166">
        <v>2022</v>
      </c>
    </row>
    <row r="59" spans="1:29" x14ac:dyDescent="0.25">
      <c r="A59" s="158"/>
      <c r="B59" s="11">
        <v>6</v>
      </c>
      <c r="C59" s="361"/>
      <c r="D59" s="361"/>
      <c r="E59" s="361"/>
      <c r="F59" s="361"/>
      <c r="G59" s="361"/>
      <c r="H59" s="361"/>
      <c r="I59" s="361"/>
      <c r="J59" s="164"/>
      <c r="K59" s="166"/>
      <c r="L59" s="159"/>
      <c r="M59" s="158"/>
      <c r="N59" s="11">
        <v>6</v>
      </c>
      <c r="O59" s="362"/>
      <c r="P59" s="363"/>
      <c r="Q59" s="363"/>
      <c r="R59" s="363"/>
      <c r="S59" s="363"/>
      <c r="T59" s="363"/>
      <c r="U59" s="364"/>
      <c r="V59" s="164"/>
      <c r="W59" s="166"/>
    </row>
    <row r="60" spans="1:29" x14ac:dyDescent="0.25">
      <c r="A60" s="158"/>
      <c r="B60" s="11">
        <v>7</v>
      </c>
      <c r="C60" s="361"/>
      <c r="D60" s="361"/>
      <c r="E60" s="361"/>
      <c r="F60" s="361"/>
      <c r="G60" s="361"/>
      <c r="H60" s="361"/>
      <c r="I60" s="361"/>
      <c r="J60" s="164"/>
      <c r="K60" s="166"/>
      <c r="L60" s="159"/>
      <c r="M60" s="158"/>
      <c r="N60" s="11">
        <v>7</v>
      </c>
      <c r="O60" s="362"/>
      <c r="P60" s="363"/>
      <c r="Q60" s="363"/>
      <c r="R60" s="363"/>
      <c r="S60" s="363"/>
      <c r="T60" s="363"/>
      <c r="U60" s="364"/>
      <c r="V60" s="164"/>
      <c r="W60" s="166"/>
    </row>
    <row r="61" spans="1:29" x14ac:dyDescent="0.25">
      <c r="A61" s="158"/>
      <c r="B61" s="11">
        <v>8</v>
      </c>
      <c r="C61" s="361"/>
      <c r="D61" s="361"/>
      <c r="E61" s="361"/>
      <c r="F61" s="361"/>
      <c r="G61" s="361"/>
      <c r="H61" s="361"/>
      <c r="I61" s="361"/>
      <c r="J61" s="164"/>
      <c r="K61" s="166"/>
      <c r="L61" s="159"/>
      <c r="M61" s="158"/>
      <c r="N61" s="11">
        <v>8</v>
      </c>
      <c r="O61" s="362"/>
      <c r="P61" s="363"/>
      <c r="Q61" s="363"/>
      <c r="R61" s="363"/>
      <c r="S61" s="363"/>
      <c r="T61" s="363"/>
      <c r="U61" s="364"/>
      <c r="V61" s="164"/>
      <c r="W61" s="166"/>
    </row>
    <row r="62" spans="1:29" x14ac:dyDescent="0.25">
      <c r="A62" s="158"/>
      <c r="B62" s="358" t="s">
        <v>253</v>
      </c>
      <c r="C62" s="359"/>
      <c r="D62" s="359"/>
      <c r="E62" s="359"/>
      <c r="F62" s="359"/>
      <c r="G62" s="359"/>
      <c r="H62" s="359"/>
      <c r="I62" s="360"/>
      <c r="J62" s="152">
        <f>SUM(J54:J61)</f>
        <v>-208749</v>
      </c>
      <c r="K62" s="162"/>
      <c r="L62" s="162"/>
      <c r="M62" s="158"/>
      <c r="N62" s="358" t="s">
        <v>253</v>
      </c>
      <c r="O62" s="359"/>
      <c r="P62" s="359"/>
      <c r="Q62" s="359"/>
      <c r="R62" s="359"/>
      <c r="S62" s="359"/>
      <c r="T62" s="359"/>
      <c r="U62" s="360"/>
      <c r="V62" s="152">
        <f>SUM(V54:V61)</f>
        <v>303624</v>
      </c>
    </row>
    <row r="63" spans="1:29" ht="32.25" customHeight="1" x14ac:dyDescent="0.25">
      <c r="A63" s="163"/>
      <c r="B63" s="311" t="s">
        <v>254</v>
      </c>
      <c r="C63" s="312"/>
      <c r="D63" s="312"/>
      <c r="E63" s="312"/>
      <c r="F63" s="312"/>
      <c r="G63" s="312"/>
      <c r="H63" s="312"/>
      <c r="I63" s="313"/>
      <c r="J63" s="152">
        <f>J62+J52</f>
        <v>964557.23</v>
      </c>
      <c r="K63" s="162"/>
      <c r="L63" s="162"/>
      <c r="M63" s="163"/>
      <c r="N63" s="311" t="s">
        <v>254</v>
      </c>
      <c r="O63" s="312"/>
      <c r="P63" s="312"/>
      <c r="Q63" s="312"/>
      <c r="R63" s="312"/>
      <c r="S63" s="312"/>
      <c r="T63" s="312"/>
      <c r="U63" s="313"/>
      <c r="V63" s="152">
        <f>V62+V52</f>
        <v>-2998143.4699999997</v>
      </c>
    </row>
    <row r="67" spans="1:23" x14ac:dyDescent="0.25">
      <c r="A67" s="27"/>
      <c r="B67" s="374" t="s">
        <v>231</v>
      </c>
      <c r="C67" s="375"/>
      <c r="D67" s="375"/>
      <c r="E67" s="375"/>
      <c r="F67" s="375"/>
      <c r="G67" s="375"/>
      <c r="H67" s="375"/>
      <c r="I67" s="375"/>
      <c r="J67" s="375"/>
      <c r="K67" s="376"/>
      <c r="L67" s="155"/>
      <c r="M67" s="27"/>
      <c r="N67" s="377" t="s">
        <v>218</v>
      </c>
      <c r="O67" s="377"/>
      <c r="P67" s="377"/>
      <c r="Q67" s="377"/>
      <c r="R67" s="377"/>
      <c r="S67" s="377"/>
      <c r="T67" s="377"/>
      <c r="U67" s="377"/>
      <c r="V67" s="377"/>
      <c r="W67" s="377"/>
    </row>
    <row r="68" spans="1:23" ht="27.6" x14ac:dyDescent="0.25">
      <c r="A68" s="156" t="s">
        <v>4</v>
      </c>
      <c r="B68" s="297" t="s">
        <v>232</v>
      </c>
      <c r="C68" s="297"/>
      <c r="D68" s="297"/>
      <c r="E68" s="297"/>
      <c r="F68" s="297"/>
      <c r="G68" s="297"/>
      <c r="H68" s="297"/>
      <c r="I68" s="297"/>
      <c r="J68" s="78" t="s">
        <v>188</v>
      </c>
      <c r="K68" s="78" t="s">
        <v>247</v>
      </c>
      <c r="L68" s="122"/>
      <c r="M68" s="156" t="s">
        <v>4</v>
      </c>
      <c r="N68" s="297" t="s">
        <v>232</v>
      </c>
      <c r="O68" s="297"/>
      <c r="P68" s="297"/>
      <c r="Q68" s="297"/>
      <c r="R68" s="297"/>
      <c r="S68" s="297"/>
      <c r="T68" s="297"/>
      <c r="U68" s="297"/>
      <c r="V68" s="78" t="s">
        <v>188</v>
      </c>
      <c r="W68" s="65" t="s">
        <v>247</v>
      </c>
    </row>
    <row r="69" spans="1:23" ht="14.4" x14ac:dyDescent="0.3">
      <c r="A69" s="166"/>
      <c r="B69" s="366" t="s">
        <v>255</v>
      </c>
      <c r="C69" s="367"/>
      <c r="D69" s="367"/>
      <c r="E69" s="367"/>
      <c r="F69" s="367"/>
      <c r="G69" s="367"/>
      <c r="H69" s="367"/>
      <c r="I69" s="367"/>
      <c r="J69" s="367"/>
      <c r="K69" s="368"/>
      <c r="L69" s="157"/>
      <c r="M69" s="166"/>
      <c r="N69" s="366" t="s">
        <v>255</v>
      </c>
      <c r="O69" s="367"/>
      <c r="P69" s="367"/>
      <c r="Q69" s="367"/>
      <c r="R69" s="367"/>
      <c r="S69" s="367"/>
      <c r="T69" s="367"/>
      <c r="U69" s="367"/>
      <c r="V69" s="367"/>
      <c r="W69" s="368"/>
    </row>
    <row r="70" spans="1:23" ht="30.75" customHeight="1" x14ac:dyDescent="0.25">
      <c r="A70" s="158"/>
      <c r="B70" s="11">
        <v>1</v>
      </c>
      <c r="C70" s="371" t="s">
        <v>256</v>
      </c>
      <c r="D70" s="372"/>
      <c r="E70" s="372"/>
      <c r="F70" s="372"/>
      <c r="G70" s="372"/>
      <c r="H70" s="372"/>
      <c r="I70" s="373"/>
      <c r="J70" s="164"/>
      <c r="K70" s="166"/>
      <c r="L70" s="159"/>
      <c r="M70" s="158"/>
      <c r="N70" s="11">
        <v>1</v>
      </c>
      <c r="O70" s="371" t="s">
        <v>257</v>
      </c>
      <c r="P70" s="372"/>
      <c r="Q70" s="372"/>
      <c r="R70" s="372"/>
      <c r="S70" s="372"/>
      <c r="T70" s="372"/>
      <c r="U70" s="373"/>
      <c r="V70" s="164"/>
      <c r="W70" s="164"/>
    </row>
    <row r="71" spans="1:23" x14ac:dyDescent="0.25">
      <c r="A71" s="158"/>
      <c r="B71" s="11">
        <v>2</v>
      </c>
      <c r="C71" s="365" t="s">
        <v>258</v>
      </c>
      <c r="D71" s="365"/>
      <c r="E71" s="365"/>
      <c r="F71" s="365"/>
      <c r="G71" s="365"/>
      <c r="H71" s="365"/>
      <c r="I71" s="365"/>
      <c r="J71" s="164"/>
      <c r="K71" s="166"/>
      <c r="L71" s="159"/>
      <c r="M71" s="158"/>
      <c r="N71" s="11">
        <v>2</v>
      </c>
      <c r="O71" s="365" t="s">
        <v>259</v>
      </c>
      <c r="P71" s="365"/>
      <c r="Q71" s="365"/>
      <c r="R71" s="365"/>
      <c r="S71" s="365"/>
      <c r="T71" s="365"/>
      <c r="U71" s="365"/>
      <c r="V71" s="164"/>
      <c r="W71" s="164"/>
    </row>
    <row r="72" spans="1:23" x14ac:dyDescent="0.25">
      <c r="A72" s="158"/>
      <c r="B72" s="11">
        <v>3</v>
      </c>
      <c r="C72" s="318"/>
      <c r="D72" s="318"/>
      <c r="E72" s="318"/>
      <c r="F72" s="318"/>
      <c r="G72" s="318"/>
      <c r="H72" s="318"/>
      <c r="I72" s="318"/>
      <c r="J72" s="164"/>
      <c r="K72" s="166"/>
      <c r="L72" s="159"/>
      <c r="M72" s="158"/>
      <c r="N72" s="11">
        <v>3</v>
      </c>
      <c r="O72" s="365" t="s">
        <v>258</v>
      </c>
      <c r="P72" s="365"/>
      <c r="Q72" s="365"/>
      <c r="R72" s="365"/>
      <c r="S72" s="365"/>
      <c r="T72" s="365"/>
      <c r="U72" s="365"/>
      <c r="V72" s="164"/>
      <c r="W72" s="164"/>
    </row>
    <row r="73" spans="1:23" x14ac:dyDescent="0.25">
      <c r="A73" s="158"/>
      <c r="B73" s="11">
        <v>4</v>
      </c>
      <c r="C73" s="318"/>
      <c r="D73" s="318"/>
      <c r="E73" s="318"/>
      <c r="F73" s="318"/>
      <c r="G73" s="318"/>
      <c r="H73" s="318"/>
      <c r="I73" s="318"/>
      <c r="J73" s="164"/>
      <c r="K73" s="166"/>
      <c r="L73" s="159"/>
      <c r="M73" s="158"/>
      <c r="N73" s="11">
        <v>4</v>
      </c>
      <c r="O73" s="319"/>
      <c r="P73" s="320"/>
      <c r="Q73" s="320"/>
      <c r="R73" s="320"/>
      <c r="S73" s="320"/>
      <c r="T73" s="320"/>
      <c r="U73" s="321"/>
      <c r="V73" s="164"/>
      <c r="W73" s="164"/>
    </row>
    <row r="74" spans="1:23" x14ac:dyDescent="0.25">
      <c r="A74" s="158"/>
      <c r="B74" s="11">
        <v>5</v>
      </c>
      <c r="C74" s="361"/>
      <c r="D74" s="361"/>
      <c r="E74" s="361"/>
      <c r="F74" s="361"/>
      <c r="G74" s="361"/>
      <c r="H74" s="361"/>
      <c r="I74" s="361"/>
      <c r="J74" s="164"/>
      <c r="K74" s="166"/>
      <c r="L74" s="159"/>
      <c r="M74" s="158"/>
      <c r="N74" s="11">
        <v>5</v>
      </c>
      <c r="O74" s="362"/>
      <c r="P74" s="363"/>
      <c r="Q74" s="363"/>
      <c r="R74" s="363"/>
      <c r="S74" s="363"/>
      <c r="T74" s="363"/>
      <c r="U74" s="364"/>
      <c r="V74" s="164"/>
      <c r="W74" s="164"/>
    </row>
    <row r="75" spans="1:23" x14ac:dyDescent="0.25">
      <c r="A75" s="158"/>
      <c r="B75" s="11">
        <v>6</v>
      </c>
      <c r="C75" s="361"/>
      <c r="D75" s="361"/>
      <c r="E75" s="361"/>
      <c r="F75" s="361"/>
      <c r="G75" s="361"/>
      <c r="H75" s="361"/>
      <c r="I75" s="361"/>
      <c r="J75" s="164"/>
      <c r="K75" s="166"/>
      <c r="L75" s="159"/>
      <c r="M75" s="158"/>
      <c r="N75" s="11">
        <v>6</v>
      </c>
      <c r="O75" s="362"/>
      <c r="P75" s="363"/>
      <c r="Q75" s="363"/>
      <c r="R75" s="363"/>
      <c r="S75" s="363"/>
      <c r="T75" s="363"/>
      <c r="U75" s="364"/>
      <c r="V75" s="164"/>
      <c r="W75" s="164"/>
    </row>
    <row r="76" spans="1:23" x14ac:dyDescent="0.25">
      <c r="A76" s="158"/>
      <c r="B76" s="11">
        <v>7</v>
      </c>
      <c r="C76" s="361"/>
      <c r="D76" s="361"/>
      <c r="E76" s="361"/>
      <c r="F76" s="361"/>
      <c r="G76" s="361"/>
      <c r="H76" s="361"/>
      <c r="I76" s="361"/>
      <c r="J76" s="164"/>
      <c r="K76" s="166"/>
      <c r="L76" s="159"/>
      <c r="M76" s="158"/>
      <c r="N76" s="11">
        <v>7</v>
      </c>
      <c r="O76" s="362"/>
      <c r="P76" s="363"/>
      <c r="Q76" s="363"/>
      <c r="R76" s="363"/>
      <c r="S76" s="363"/>
      <c r="T76" s="363"/>
      <c r="U76" s="364"/>
      <c r="V76" s="164"/>
      <c r="W76" s="164"/>
    </row>
    <row r="77" spans="1:23" x14ac:dyDescent="0.25">
      <c r="A77" s="158"/>
      <c r="B77" s="11">
        <v>8</v>
      </c>
      <c r="C77" s="361"/>
      <c r="D77" s="361"/>
      <c r="E77" s="361"/>
      <c r="F77" s="361"/>
      <c r="G77" s="361"/>
      <c r="H77" s="361"/>
      <c r="I77" s="361"/>
      <c r="J77" s="164"/>
      <c r="K77" s="166"/>
      <c r="L77" s="159"/>
      <c r="M77" s="158"/>
      <c r="N77" s="11">
        <v>8</v>
      </c>
      <c r="O77" s="362"/>
      <c r="P77" s="363"/>
      <c r="Q77" s="363"/>
      <c r="R77" s="363"/>
      <c r="S77" s="363"/>
      <c r="T77" s="363"/>
      <c r="U77" s="364"/>
      <c r="V77" s="164"/>
      <c r="W77" s="164"/>
    </row>
    <row r="78" spans="1:23" x14ac:dyDescent="0.25">
      <c r="A78" s="158"/>
      <c r="B78" s="358" t="s">
        <v>249</v>
      </c>
      <c r="C78" s="359"/>
      <c r="D78" s="359"/>
      <c r="E78" s="359"/>
      <c r="F78" s="359"/>
      <c r="G78" s="359"/>
      <c r="H78" s="359"/>
      <c r="I78" s="360"/>
      <c r="J78" s="152">
        <f>SUM(J70:J77)</f>
        <v>0</v>
      </c>
      <c r="K78" s="152"/>
      <c r="L78" s="160"/>
      <c r="M78" s="158"/>
      <c r="N78" s="358" t="s">
        <v>249</v>
      </c>
      <c r="O78" s="359"/>
      <c r="P78" s="359"/>
      <c r="Q78" s="359"/>
      <c r="R78" s="359"/>
      <c r="S78" s="359"/>
      <c r="T78" s="359"/>
      <c r="U78" s="360"/>
      <c r="V78" s="152">
        <f>SUM(V70:V77)</f>
        <v>0</v>
      </c>
      <c r="W78" s="11"/>
    </row>
    <row r="79" spans="1:23" ht="14.4" x14ac:dyDescent="0.3">
      <c r="A79" s="166"/>
      <c r="B79" s="366" t="s">
        <v>250</v>
      </c>
      <c r="C79" s="367"/>
      <c r="D79" s="367"/>
      <c r="E79" s="367"/>
      <c r="F79" s="367"/>
      <c r="G79" s="367"/>
      <c r="H79" s="367"/>
      <c r="I79" s="367"/>
      <c r="J79" s="367"/>
      <c r="K79" s="368"/>
      <c r="L79" s="157"/>
      <c r="M79" s="166"/>
      <c r="N79" s="369" t="s">
        <v>250</v>
      </c>
      <c r="O79" s="370"/>
      <c r="P79" s="370"/>
      <c r="Q79" s="370"/>
      <c r="R79" s="370"/>
      <c r="S79" s="370"/>
      <c r="T79" s="370"/>
      <c r="U79" s="370"/>
      <c r="V79" s="370"/>
      <c r="W79" s="370"/>
    </row>
    <row r="80" spans="1:23" x14ac:dyDescent="0.25">
      <c r="A80" s="158"/>
      <c r="B80" s="11">
        <v>1</v>
      </c>
      <c r="C80" s="371" t="s">
        <v>251</v>
      </c>
      <c r="D80" s="372"/>
      <c r="E80" s="372"/>
      <c r="F80" s="372"/>
      <c r="G80" s="372"/>
      <c r="H80" s="372"/>
      <c r="I80" s="373"/>
      <c r="J80" s="164"/>
      <c r="K80" s="166"/>
      <c r="L80" s="159"/>
      <c r="M80" s="158"/>
      <c r="N80" s="11">
        <v>1</v>
      </c>
      <c r="O80" s="371" t="s">
        <v>236</v>
      </c>
      <c r="P80" s="372"/>
      <c r="Q80" s="372"/>
      <c r="R80" s="372"/>
      <c r="S80" s="372"/>
      <c r="T80" s="372"/>
      <c r="U80" s="373"/>
      <c r="V80" s="164"/>
      <c r="W80" s="164"/>
    </row>
    <row r="81" spans="1:23" x14ac:dyDescent="0.25">
      <c r="A81" s="158"/>
      <c r="B81" s="11">
        <v>2</v>
      </c>
      <c r="C81" s="365" t="s">
        <v>252</v>
      </c>
      <c r="D81" s="365"/>
      <c r="E81" s="365"/>
      <c r="F81" s="365"/>
      <c r="G81" s="365"/>
      <c r="H81" s="365"/>
      <c r="I81" s="365"/>
      <c r="J81" s="164"/>
      <c r="K81" s="166"/>
      <c r="L81" s="159"/>
      <c r="M81" s="158"/>
      <c r="N81" s="11">
        <v>2</v>
      </c>
      <c r="O81" s="365" t="s">
        <v>259</v>
      </c>
      <c r="P81" s="365"/>
      <c r="Q81" s="365"/>
      <c r="R81" s="365"/>
      <c r="S81" s="365"/>
      <c r="T81" s="365"/>
      <c r="U81" s="365"/>
      <c r="V81" s="164"/>
      <c r="W81" s="164"/>
    </row>
    <row r="82" spans="1:23" x14ac:dyDescent="0.25">
      <c r="A82" s="158"/>
      <c r="B82" s="11">
        <v>3</v>
      </c>
      <c r="C82" s="318"/>
      <c r="D82" s="318"/>
      <c r="E82" s="318"/>
      <c r="F82" s="318"/>
      <c r="G82" s="318"/>
      <c r="H82" s="318"/>
      <c r="I82" s="318"/>
      <c r="J82" s="164"/>
      <c r="K82" s="166"/>
      <c r="L82" s="159"/>
      <c r="M82" s="158"/>
      <c r="N82" s="11">
        <v>3</v>
      </c>
      <c r="O82" s="365" t="s">
        <v>252</v>
      </c>
      <c r="P82" s="365"/>
      <c r="Q82" s="365"/>
      <c r="R82" s="365"/>
      <c r="S82" s="365"/>
      <c r="T82" s="365"/>
      <c r="U82" s="365"/>
      <c r="V82" s="164"/>
      <c r="W82" s="164"/>
    </row>
    <row r="83" spans="1:23" x14ac:dyDescent="0.25">
      <c r="A83" s="158"/>
      <c r="B83" s="11">
        <v>4</v>
      </c>
      <c r="C83" s="318"/>
      <c r="D83" s="318"/>
      <c r="E83" s="318"/>
      <c r="F83" s="318"/>
      <c r="G83" s="318"/>
      <c r="H83" s="318"/>
      <c r="I83" s="318"/>
      <c r="J83" s="164"/>
      <c r="K83" s="166"/>
      <c r="L83" s="159"/>
      <c r="M83" s="158"/>
      <c r="N83" s="11">
        <v>4</v>
      </c>
      <c r="O83" s="319"/>
      <c r="P83" s="320"/>
      <c r="Q83" s="320"/>
      <c r="R83" s="320"/>
      <c r="S83" s="320"/>
      <c r="T83" s="320"/>
      <c r="U83" s="321"/>
      <c r="V83" s="164"/>
      <c r="W83" s="164"/>
    </row>
    <row r="84" spans="1:23" x14ac:dyDescent="0.25">
      <c r="A84" s="158"/>
      <c r="B84" s="11">
        <v>5</v>
      </c>
      <c r="C84" s="361"/>
      <c r="D84" s="361"/>
      <c r="E84" s="361"/>
      <c r="F84" s="361"/>
      <c r="G84" s="361"/>
      <c r="H84" s="361"/>
      <c r="I84" s="361"/>
      <c r="J84" s="164"/>
      <c r="K84" s="166"/>
      <c r="L84" s="159"/>
      <c r="M84" s="158"/>
      <c r="N84" s="11">
        <v>5</v>
      </c>
      <c r="O84" s="362"/>
      <c r="P84" s="363"/>
      <c r="Q84" s="363"/>
      <c r="R84" s="363"/>
      <c r="S84" s="363"/>
      <c r="T84" s="363"/>
      <c r="U84" s="364"/>
      <c r="V84" s="164"/>
      <c r="W84" s="164"/>
    </row>
    <row r="85" spans="1:23" x14ac:dyDescent="0.25">
      <c r="A85" s="158"/>
      <c r="B85" s="11">
        <v>6</v>
      </c>
      <c r="C85" s="361"/>
      <c r="D85" s="361"/>
      <c r="E85" s="361"/>
      <c r="F85" s="361"/>
      <c r="G85" s="361"/>
      <c r="H85" s="361"/>
      <c r="I85" s="361"/>
      <c r="J85" s="164"/>
      <c r="K85" s="166"/>
      <c r="L85" s="159"/>
      <c r="M85" s="158"/>
      <c r="N85" s="11">
        <v>6</v>
      </c>
      <c r="O85" s="362"/>
      <c r="P85" s="363"/>
      <c r="Q85" s="363"/>
      <c r="R85" s="363"/>
      <c r="S85" s="363"/>
      <c r="T85" s="363"/>
      <c r="U85" s="364"/>
      <c r="V85" s="164"/>
      <c r="W85" s="164"/>
    </row>
    <row r="86" spans="1:23" x14ac:dyDescent="0.25">
      <c r="A86" s="158"/>
      <c r="B86" s="11">
        <v>7</v>
      </c>
      <c r="C86" s="361"/>
      <c r="D86" s="361"/>
      <c r="E86" s="361"/>
      <c r="F86" s="361"/>
      <c r="G86" s="361"/>
      <c r="H86" s="361"/>
      <c r="I86" s="361"/>
      <c r="J86" s="164"/>
      <c r="K86" s="166"/>
      <c r="L86" s="159"/>
      <c r="M86" s="158"/>
      <c r="N86" s="11">
        <v>7</v>
      </c>
      <c r="O86" s="362"/>
      <c r="P86" s="363"/>
      <c r="Q86" s="363"/>
      <c r="R86" s="363"/>
      <c r="S86" s="363"/>
      <c r="T86" s="363"/>
      <c r="U86" s="364"/>
      <c r="V86" s="164"/>
      <c r="W86" s="164"/>
    </row>
    <row r="87" spans="1:23" x14ac:dyDescent="0.25">
      <c r="A87" s="158"/>
      <c r="B87" s="11">
        <v>8</v>
      </c>
      <c r="C87" s="361"/>
      <c r="D87" s="361"/>
      <c r="E87" s="361"/>
      <c r="F87" s="361"/>
      <c r="G87" s="361"/>
      <c r="H87" s="361"/>
      <c r="I87" s="361"/>
      <c r="J87" s="164"/>
      <c r="K87" s="166"/>
      <c r="L87" s="159"/>
      <c r="M87" s="158"/>
      <c r="N87" s="11">
        <v>8</v>
      </c>
      <c r="O87" s="362"/>
      <c r="P87" s="363"/>
      <c r="Q87" s="363"/>
      <c r="R87" s="363"/>
      <c r="S87" s="363"/>
      <c r="T87" s="363"/>
      <c r="U87" s="364"/>
      <c r="V87" s="164"/>
      <c r="W87" s="164"/>
    </row>
    <row r="88" spans="1:23" x14ac:dyDescent="0.25">
      <c r="A88" s="158"/>
      <c r="B88" s="358" t="s">
        <v>253</v>
      </c>
      <c r="C88" s="359"/>
      <c r="D88" s="359"/>
      <c r="E88" s="359"/>
      <c r="F88" s="359"/>
      <c r="G88" s="359"/>
      <c r="H88" s="359"/>
      <c r="I88" s="360"/>
      <c r="J88" s="152">
        <f>SUM(J80:J87)</f>
        <v>0</v>
      </c>
      <c r="K88" s="162"/>
      <c r="L88" s="162"/>
      <c r="M88" s="158"/>
      <c r="N88" s="358" t="s">
        <v>253</v>
      </c>
      <c r="O88" s="359"/>
      <c r="P88" s="359"/>
      <c r="Q88" s="359"/>
      <c r="R88" s="359"/>
      <c r="S88" s="359"/>
      <c r="T88" s="359"/>
      <c r="U88" s="360"/>
      <c r="V88" s="152">
        <f>SUM(V80:V87)</f>
        <v>0</v>
      </c>
    </row>
    <row r="89" spans="1:23" ht="29.7" customHeight="1" x14ac:dyDescent="0.25">
      <c r="A89" s="163"/>
      <c r="B89" s="311" t="s">
        <v>254</v>
      </c>
      <c r="C89" s="312"/>
      <c r="D89" s="312"/>
      <c r="E89" s="312"/>
      <c r="F89" s="312"/>
      <c r="G89" s="312"/>
      <c r="H89" s="312"/>
      <c r="I89" s="313"/>
      <c r="J89" s="152">
        <f>J88+J78</f>
        <v>0</v>
      </c>
      <c r="K89" s="162"/>
      <c r="L89" s="162"/>
      <c r="M89" s="163"/>
      <c r="N89" s="311" t="s">
        <v>254</v>
      </c>
      <c r="O89" s="312"/>
      <c r="P89" s="312"/>
      <c r="Q89" s="312"/>
      <c r="R89" s="312"/>
      <c r="S89" s="312"/>
      <c r="T89" s="312"/>
      <c r="U89" s="313"/>
      <c r="V89" s="152">
        <f>V88+V78</f>
        <v>0</v>
      </c>
    </row>
    <row r="90" spans="1:23" x14ac:dyDescent="0.25">
      <c r="B90" s="167"/>
      <c r="C90" s="167"/>
      <c r="D90" s="167"/>
      <c r="E90" s="167"/>
      <c r="F90" s="167"/>
      <c r="G90" s="167"/>
      <c r="H90" s="167"/>
      <c r="I90" s="167"/>
      <c r="J90" s="162"/>
      <c r="K90" s="162"/>
      <c r="L90" s="162"/>
      <c r="M90" s="1"/>
      <c r="N90" s="168"/>
      <c r="O90" s="168"/>
      <c r="P90" s="168"/>
      <c r="Q90" s="168"/>
      <c r="R90" s="168"/>
      <c r="S90" s="168"/>
      <c r="T90" s="168"/>
      <c r="U90" s="168"/>
      <c r="V90" s="162"/>
    </row>
    <row r="92" spans="1:23" x14ac:dyDescent="0.25">
      <c r="A92" s="27"/>
      <c r="B92" s="374" t="s">
        <v>231</v>
      </c>
      <c r="C92" s="375"/>
      <c r="D92" s="375"/>
      <c r="E92" s="375"/>
      <c r="F92" s="375"/>
      <c r="G92" s="375"/>
      <c r="H92" s="375"/>
      <c r="I92" s="375"/>
      <c r="J92" s="375"/>
      <c r="K92" s="376"/>
      <c r="L92" s="155"/>
      <c r="M92" s="27"/>
      <c r="N92" s="377" t="s">
        <v>218</v>
      </c>
      <c r="O92" s="377"/>
      <c r="P92" s="377"/>
      <c r="Q92" s="377"/>
      <c r="R92" s="377"/>
      <c r="S92" s="377"/>
      <c r="T92" s="377"/>
      <c r="U92" s="377"/>
      <c r="V92" s="377"/>
      <c r="W92" s="377"/>
    </row>
    <row r="93" spans="1:23" ht="27.6" x14ac:dyDescent="0.25">
      <c r="A93" s="156" t="s">
        <v>4</v>
      </c>
      <c r="B93" s="297" t="s">
        <v>232</v>
      </c>
      <c r="C93" s="297"/>
      <c r="D93" s="297"/>
      <c r="E93" s="297"/>
      <c r="F93" s="297"/>
      <c r="G93" s="297"/>
      <c r="H93" s="297"/>
      <c r="I93" s="297"/>
      <c r="J93" s="78" t="s">
        <v>188</v>
      </c>
      <c r="K93" s="78" t="s">
        <v>247</v>
      </c>
      <c r="L93" s="122"/>
      <c r="M93" s="156" t="s">
        <v>4</v>
      </c>
      <c r="N93" s="297" t="s">
        <v>232</v>
      </c>
      <c r="O93" s="297"/>
      <c r="P93" s="297"/>
      <c r="Q93" s="297"/>
      <c r="R93" s="297"/>
      <c r="S93" s="297"/>
      <c r="T93" s="297"/>
      <c r="U93" s="297"/>
      <c r="V93" s="78" t="s">
        <v>188</v>
      </c>
      <c r="W93" s="65" t="s">
        <v>247</v>
      </c>
    </row>
    <row r="94" spans="1:23" ht="14.4" x14ac:dyDescent="0.3">
      <c r="A94" s="166"/>
      <c r="B94" s="366" t="s">
        <v>255</v>
      </c>
      <c r="C94" s="367"/>
      <c r="D94" s="367"/>
      <c r="E94" s="367"/>
      <c r="F94" s="367"/>
      <c r="G94" s="367"/>
      <c r="H94" s="367"/>
      <c r="I94" s="367"/>
      <c r="J94" s="367"/>
      <c r="K94" s="368"/>
      <c r="L94" s="157"/>
      <c r="M94" s="166"/>
      <c r="N94" s="366" t="s">
        <v>255</v>
      </c>
      <c r="O94" s="367"/>
      <c r="P94" s="367"/>
      <c r="Q94" s="367"/>
      <c r="R94" s="367"/>
      <c r="S94" s="367"/>
      <c r="T94" s="367"/>
      <c r="U94" s="367"/>
      <c r="V94" s="367"/>
      <c r="W94" s="368"/>
    </row>
    <row r="95" spans="1:23" x14ac:dyDescent="0.25">
      <c r="A95" s="158"/>
      <c r="B95" s="11">
        <v>1</v>
      </c>
      <c r="C95" s="371" t="s">
        <v>256</v>
      </c>
      <c r="D95" s="372"/>
      <c r="E95" s="372"/>
      <c r="F95" s="372"/>
      <c r="G95" s="372"/>
      <c r="H95" s="372"/>
      <c r="I95" s="373"/>
      <c r="J95" s="164"/>
      <c r="K95" s="166"/>
      <c r="L95" s="159"/>
      <c r="M95" s="158"/>
      <c r="N95" s="11">
        <v>1</v>
      </c>
      <c r="O95" s="371" t="s">
        <v>257</v>
      </c>
      <c r="P95" s="372"/>
      <c r="Q95" s="372"/>
      <c r="R95" s="372"/>
      <c r="S95" s="372"/>
      <c r="T95" s="372"/>
      <c r="U95" s="373"/>
      <c r="V95" s="164"/>
      <c r="W95" s="164"/>
    </row>
    <row r="96" spans="1:23" x14ac:dyDescent="0.25">
      <c r="A96" s="158"/>
      <c r="B96" s="11">
        <v>2</v>
      </c>
      <c r="C96" s="365" t="s">
        <v>258</v>
      </c>
      <c r="D96" s="365"/>
      <c r="E96" s="365"/>
      <c r="F96" s="365"/>
      <c r="G96" s="365"/>
      <c r="H96" s="365"/>
      <c r="I96" s="365"/>
      <c r="J96" s="164"/>
      <c r="K96" s="166"/>
      <c r="L96" s="159"/>
      <c r="M96" s="158"/>
      <c r="N96" s="11">
        <v>2</v>
      </c>
      <c r="O96" s="365" t="s">
        <v>259</v>
      </c>
      <c r="P96" s="365"/>
      <c r="Q96" s="365"/>
      <c r="R96" s="365"/>
      <c r="S96" s="365"/>
      <c r="T96" s="365"/>
      <c r="U96" s="365"/>
      <c r="V96" s="164"/>
      <c r="W96" s="164"/>
    </row>
    <row r="97" spans="1:23" x14ac:dyDescent="0.25">
      <c r="A97" s="158"/>
      <c r="B97" s="11">
        <v>3</v>
      </c>
      <c r="C97" s="318"/>
      <c r="D97" s="318"/>
      <c r="E97" s="318"/>
      <c r="F97" s="318"/>
      <c r="G97" s="318"/>
      <c r="H97" s="318"/>
      <c r="I97" s="318"/>
      <c r="J97" s="164"/>
      <c r="K97" s="166"/>
      <c r="L97" s="159"/>
      <c r="M97" s="158"/>
      <c r="N97" s="11">
        <v>3</v>
      </c>
      <c r="O97" s="365" t="s">
        <v>258</v>
      </c>
      <c r="P97" s="365"/>
      <c r="Q97" s="365"/>
      <c r="R97" s="365"/>
      <c r="S97" s="365"/>
      <c r="T97" s="365"/>
      <c r="U97" s="365"/>
      <c r="V97" s="164"/>
      <c r="W97" s="164"/>
    </row>
    <row r="98" spans="1:23" x14ac:dyDescent="0.25">
      <c r="A98" s="158"/>
      <c r="B98" s="11">
        <v>4</v>
      </c>
      <c r="C98" s="318"/>
      <c r="D98" s="318"/>
      <c r="E98" s="318"/>
      <c r="F98" s="318"/>
      <c r="G98" s="318"/>
      <c r="H98" s="318"/>
      <c r="I98" s="318"/>
      <c r="J98" s="164"/>
      <c r="K98" s="166"/>
      <c r="L98" s="159"/>
      <c r="M98" s="158"/>
      <c r="N98" s="11">
        <v>4</v>
      </c>
      <c r="O98" s="319"/>
      <c r="P98" s="320"/>
      <c r="Q98" s="320"/>
      <c r="R98" s="320"/>
      <c r="S98" s="320"/>
      <c r="T98" s="320"/>
      <c r="U98" s="321"/>
      <c r="V98" s="164"/>
      <c r="W98" s="164"/>
    </row>
    <row r="99" spans="1:23" x14ac:dyDescent="0.25">
      <c r="A99" s="158"/>
      <c r="B99" s="11">
        <v>5</v>
      </c>
      <c r="C99" s="361"/>
      <c r="D99" s="361"/>
      <c r="E99" s="361"/>
      <c r="F99" s="361"/>
      <c r="G99" s="361"/>
      <c r="H99" s="361"/>
      <c r="I99" s="361"/>
      <c r="J99" s="164"/>
      <c r="K99" s="166"/>
      <c r="L99" s="159"/>
      <c r="M99" s="158"/>
      <c r="N99" s="11">
        <v>5</v>
      </c>
      <c r="O99" s="362"/>
      <c r="P99" s="363"/>
      <c r="Q99" s="363"/>
      <c r="R99" s="363"/>
      <c r="S99" s="363"/>
      <c r="T99" s="363"/>
      <c r="U99" s="364"/>
      <c r="V99" s="164"/>
      <c r="W99" s="164"/>
    </row>
    <row r="100" spans="1:23" x14ac:dyDescent="0.25">
      <c r="A100" s="158"/>
      <c r="B100" s="11">
        <v>6</v>
      </c>
      <c r="C100" s="361"/>
      <c r="D100" s="361"/>
      <c r="E100" s="361"/>
      <c r="F100" s="361"/>
      <c r="G100" s="361"/>
      <c r="H100" s="361"/>
      <c r="I100" s="361"/>
      <c r="J100" s="164"/>
      <c r="K100" s="166"/>
      <c r="L100" s="159"/>
      <c r="M100" s="158"/>
      <c r="N100" s="11">
        <v>6</v>
      </c>
      <c r="O100" s="362"/>
      <c r="P100" s="363"/>
      <c r="Q100" s="363"/>
      <c r="R100" s="363"/>
      <c r="S100" s="363"/>
      <c r="T100" s="363"/>
      <c r="U100" s="364"/>
      <c r="V100" s="164"/>
      <c r="W100" s="164"/>
    </row>
    <row r="101" spans="1:23" x14ac:dyDescent="0.25">
      <c r="A101" s="158"/>
      <c r="B101" s="11">
        <v>7</v>
      </c>
      <c r="C101" s="361"/>
      <c r="D101" s="361"/>
      <c r="E101" s="361"/>
      <c r="F101" s="361"/>
      <c r="G101" s="361"/>
      <c r="H101" s="361"/>
      <c r="I101" s="361"/>
      <c r="J101" s="164"/>
      <c r="K101" s="166"/>
      <c r="L101" s="159"/>
      <c r="M101" s="158"/>
      <c r="N101" s="11">
        <v>7</v>
      </c>
      <c r="O101" s="362"/>
      <c r="P101" s="363"/>
      <c r="Q101" s="363"/>
      <c r="R101" s="363"/>
      <c r="S101" s="363"/>
      <c r="T101" s="363"/>
      <c r="U101" s="364"/>
      <c r="V101" s="164"/>
      <c r="W101" s="164"/>
    </row>
    <row r="102" spans="1:23" x14ac:dyDescent="0.25">
      <c r="A102" s="158"/>
      <c r="B102" s="11">
        <v>8</v>
      </c>
      <c r="C102" s="361"/>
      <c r="D102" s="361"/>
      <c r="E102" s="361"/>
      <c r="F102" s="361"/>
      <c r="G102" s="361"/>
      <c r="H102" s="361"/>
      <c r="I102" s="361"/>
      <c r="J102" s="164"/>
      <c r="K102" s="166"/>
      <c r="L102" s="159"/>
      <c r="M102" s="158"/>
      <c r="N102" s="11">
        <v>8</v>
      </c>
      <c r="O102" s="362"/>
      <c r="P102" s="363"/>
      <c r="Q102" s="363"/>
      <c r="R102" s="363"/>
      <c r="S102" s="363"/>
      <c r="T102" s="363"/>
      <c r="U102" s="364"/>
      <c r="V102" s="164"/>
      <c r="W102" s="164"/>
    </row>
    <row r="103" spans="1:23" x14ac:dyDescent="0.25">
      <c r="A103" s="158"/>
      <c r="B103" s="358" t="s">
        <v>249</v>
      </c>
      <c r="C103" s="359"/>
      <c r="D103" s="359"/>
      <c r="E103" s="359"/>
      <c r="F103" s="359"/>
      <c r="G103" s="359"/>
      <c r="H103" s="359"/>
      <c r="I103" s="360"/>
      <c r="J103" s="152">
        <f>SUM(J95:J102)</f>
        <v>0</v>
      </c>
      <c r="K103" s="152"/>
      <c r="L103" s="160"/>
      <c r="M103" s="158"/>
      <c r="N103" s="358" t="s">
        <v>249</v>
      </c>
      <c r="O103" s="359"/>
      <c r="P103" s="359"/>
      <c r="Q103" s="359"/>
      <c r="R103" s="359"/>
      <c r="S103" s="359"/>
      <c r="T103" s="359"/>
      <c r="U103" s="360"/>
      <c r="V103" s="152">
        <f>SUM(V95:V102)</f>
        <v>0</v>
      </c>
      <c r="W103" s="11"/>
    </row>
    <row r="104" spans="1:23" ht="14.4" x14ac:dyDescent="0.3">
      <c r="A104" s="166"/>
      <c r="B104" s="366" t="s">
        <v>250</v>
      </c>
      <c r="C104" s="367"/>
      <c r="D104" s="367"/>
      <c r="E104" s="367"/>
      <c r="F104" s="367"/>
      <c r="G104" s="367"/>
      <c r="H104" s="367"/>
      <c r="I104" s="367"/>
      <c r="J104" s="367"/>
      <c r="K104" s="368"/>
      <c r="L104" s="157"/>
      <c r="M104" s="166"/>
      <c r="N104" s="369" t="s">
        <v>250</v>
      </c>
      <c r="O104" s="370"/>
      <c r="P104" s="370"/>
      <c r="Q104" s="370"/>
      <c r="R104" s="370"/>
      <c r="S104" s="370"/>
      <c r="T104" s="370"/>
      <c r="U104" s="370"/>
      <c r="V104" s="370"/>
      <c r="W104" s="370"/>
    </row>
    <row r="105" spans="1:23" x14ac:dyDescent="0.25">
      <c r="A105" s="158"/>
      <c r="B105" s="11">
        <v>1</v>
      </c>
      <c r="C105" s="371" t="s">
        <v>251</v>
      </c>
      <c r="D105" s="372"/>
      <c r="E105" s="372"/>
      <c r="F105" s="372"/>
      <c r="G105" s="372"/>
      <c r="H105" s="372"/>
      <c r="I105" s="373"/>
      <c r="J105" s="164"/>
      <c r="K105" s="166"/>
      <c r="L105" s="159"/>
      <c r="M105" s="158"/>
      <c r="N105" s="11">
        <v>1</v>
      </c>
      <c r="O105" s="371" t="s">
        <v>236</v>
      </c>
      <c r="P105" s="372"/>
      <c r="Q105" s="372"/>
      <c r="R105" s="372"/>
      <c r="S105" s="372"/>
      <c r="T105" s="372"/>
      <c r="U105" s="373"/>
      <c r="V105" s="164"/>
      <c r="W105" s="164"/>
    </row>
    <row r="106" spans="1:23" x14ac:dyDescent="0.25">
      <c r="A106" s="158"/>
      <c r="B106" s="11">
        <v>2</v>
      </c>
      <c r="C106" s="365" t="s">
        <v>252</v>
      </c>
      <c r="D106" s="365"/>
      <c r="E106" s="365"/>
      <c r="F106" s="365"/>
      <c r="G106" s="365"/>
      <c r="H106" s="365"/>
      <c r="I106" s="365"/>
      <c r="J106" s="164"/>
      <c r="K106" s="166"/>
      <c r="L106" s="159"/>
      <c r="M106" s="158"/>
      <c r="N106" s="11">
        <v>2</v>
      </c>
      <c r="O106" s="365" t="s">
        <v>259</v>
      </c>
      <c r="P106" s="365"/>
      <c r="Q106" s="365"/>
      <c r="R106" s="365"/>
      <c r="S106" s="365"/>
      <c r="T106" s="365"/>
      <c r="U106" s="365"/>
      <c r="V106" s="164"/>
      <c r="W106" s="164"/>
    </row>
    <row r="107" spans="1:23" x14ac:dyDescent="0.25">
      <c r="A107" s="158"/>
      <c r="B107" s="11">
        <v>3</v>
      </c>
      <c r="C107" s="318"/>
      <c r="D107" s="318"/>
      <c r="E107" s="318"/>
      <c r="F107" s="318"/>
      <c r="G107" s="318"/>
      <c r="H107" s="318"/>
      <c r="I107" s="318"/>
      <c r="J107" s="164"/>
      <c r="K107" s="166"/>
      <c r="L107" s="159"/>
      <c r="M107" s="158"/>
      <c r="N107" s="11">
        <v>3</v>
      </c>
      <c r="O107" s="365" t="s">
        <v>252</v>
      </c>
      <c r="P107" s="365"/>
      <c r="Q107" s="365"/>
      <c r="R107" s="365"/>
      <c r="S107" s="365"/>
      <c r="T107" s="365"/>
      <c r="U107" s="365"/>
      <c r="V107" s="164"/>
      <c r="W107" s="164"/>
    </row>
    <row r="108" spans="1:23" x14ac:dyDescent="0.25">
      <c r="A108" s="158"/>
      <c r="B108" s="11">
        <v>4</v>
      </c>
      <c r="C108" s="318"/>
      <c r="D108" s="318"/>
      <c r="E108" s="318"/>
      <c r="F108" s="318"/>
      <c r="G108" s="318"/>
      <c r="H108" s="318"/>
      <c r="I108" s="318"/>
      <c r="J108" s="164"/>
      <c r="K108" s="166"/>
      <c r="L108" s="159"/>
      <c r="M108" s="158"/>
      <c r="N108" s="11">
        <v>4</v>
      </c>
      <c r="O108" s="319"/>
      <c r="P108" s="320"/>
      <c r="Q108" s="320"/>
      <c r="R108" s="320"/>
      <c r="S108" s="320"/>
      <c r="T108" s="320"/>
      <c r="U108" s="321"/>
      <c r="V108" s="164"/>
      <c r="W108" s="164"/>
    </row>
    <row r="109" spans="1:23" x14ac:dyDescent="0.25">
      <c r="A109" s="158"/>
      <c r="B109" s="11">
        <v>5</v>
      </c>
      <c r="C109" s="361"/>
      <c r="D109" s="361"/>
      <c r="E109" s="361"/>
      <c r="F109" s="361"/>
      <c r="G109" s="361"/>
      <c r="H109" s="361"/>
      <c r="I109" s="361"/>
      <c r="J109" s="164"/>
      <c r="K109" s="166"/>
      <c r="L109" s="159"/>
      <c r="M109" s="158"/>
      <c r="N109" s="11">
        <v>5</v>
      </c>
      <c r="O109" s="362"/>
      <c r="P109" s="363"/>
      <c r="Q109" s="363"/>
      <c r="R109" s="363"/>
      <c r="S109" s="363"/>
      <c r="T109" s="363"/>
      <c r="U109" s="364"/>
      <c r="V109" s="164"/>
      <c r="W109" s="164"/>
    </row>
    <row r="110" spans="1:23" x14ac:dyDescent="0.25">
      <c r="A110" s="158"/>
      <c r="B110" s="11">
        <v>6</v>
      </c>
      <c r="C110" s="361"/>
      <c r="D110" s="361"/>
      <c r="E110" s="361"/>
      <c r="F110" s="361"/>
      <c r="G110" s="361"/>
      <c r="H110" s="361"/>
      <c r="I110" s="361"/>
      <c r="J110" s="164"/>
      <c r="K110" s="166"/>
      <c r="L110" s="159"/>
      <c r="M110" s="158"/>
      <c r="N110" s="11">
        <v>6</v>
      </c>
      <c r="O110" s="362"/>
      <c r="P110" s="363"/>
      <c r="Q110" s="363"/>
      <c r="R110" s="363"/>
      <c r="S110" s="363"/>
      <c r="T110" s="363"/>
      <c r="U110" s="364"/>
      <c r="V110" s="164"/>
      <c r="W110" s="164"/>
    </row>
    <row r="111" spans="1:23" x14ac:dyDescent="0.25">
      <c r="A111" s="158"/>
      <c r="B111" s="11">
        <v>7</v>
      </c>
      <c r="C111" s="361"/>
      <c r="D111" s="361"/>
      <c r="E111" s="361"/>
      <c r="F111" s="361"/>
      <c r="G111" s="361"/>
      <c r="H111" s="361"/>
      <c r="I111" s="361"/>
      <c r="J111" s="164"/>
      <c r="K111" s="166"/>
      <c r="L111" s="159"/>
      <c r="M111" s="158"/>
      <c r="N111" s="11">
        <v>7</v>
      </c>
      <c r="O111" s="362"/>
      <c r="P111" s="363"/>
      <c r="Q111" s="363"/>
      <c r="R111" s="363"/>
      <c r="S111" s="363"/>
      <c r="T111" s="363"/>
      <c r="U111" s="364"/>
      <c r="V111" s="164"/>
      <c r="W111" s="164"/>
    </row>
    <row r="112" spans="1:23" x14ac:dyDescent="0.25">
      <c r="A112" s="158"/>
      <c r="B112" s="11">
        <v>8</v>
      </c>
      <c r="C112" s="361"/>
      <c r="D112" s="361"/>
      <c r="E112" s="361"/>
      <c r="F112" s="361"/>
      <c r="G112" s="361"/>
      <c r="H112" s="361"/>
      <c r="I112" s="361"/>
      <c r="J112" s="164"/>
      <c r="K112" s="166"/>
      <c r="L112" s="159"/>
      <c r="M112" s="158"/>
      <c r="N112" s="11">
        <v>8</v>
      </c>
      <c r="O112" s="362"/>
      <c r="P112" s="363"/>
      <c r="Q112" s="363"/>
      <c r="R112" s="363"/>
      <c r="S112" s="363"/>
      <c r="T112" s="363"/>
      <c r="U112" s="364"/>
      <c r="V112" s="164"/>
      <c r="W112" s="164"/>
    </row>
    <row r="113" spans="1:23" x14ac:dyDescent="0.25">
      <c r="A113" s="158"/>
      <c r="B113" s="358" t="s">
        <v>253</v>
      </c>
      <c r="C113" s="359"/>
      <c r="D113" s="359"/>
      <c r="E113" s="359"/>
      <c r="F113" s="359"/>
      <c r="G113" s="359"/>
      <c r="H113" s="359"/>
      <c r="I113" s="360"/>
      <c r="J113" s="152">
        <f>SUM(J105:J112)</f>
        <v>0</v>
      </c>
      <c r="K113" s="162"/>
      <c r="L113" s="162"/>
      <c r="M113" s="158"/>
      <c r="N113" s="358" t="s">
        <v>253</v>
      </c>
      <c r="O113" s="359"/>
      <c r="P113" s="359"/>
      <c r="Q113" s="359"/>
      <c r="R113" s="359"/>
      <c r="S113" s="359"/>
      <c r="T113" s="359"/>
      <c r="U113" s="360"/>
      <c r="V113" s="152">
        <f>SUM(V105:V112)</f>
        <v>0</v>
      </c>
    </row>
    <row r="114" spans="1:23" ht="29.7" customHeight="1" x14ac:dyDescent="0.25">
      <c r="A114" s="163"/>
      <c r="B114" s="311" t="s">
        <v>254</v>
      </c>
      <c r="C114" s="312"/>
      <c r="D114" s="312"/>
      <c r="E114" s="312"/>
      <c r="F114" s="312"/>
      <c r="G114" s="312"/>
      <c r="H114" s="312"/>
      <c r="I114" s="313"/>
      <c r="J114" s="152">
        <f>J113+J103</f>
        <v>0</v>
      </c>
      <c r="K114" s="162"/>
      <c r="L114" s="162"/>
      <c r="M114" s="163"/>
      <c r="N114" s="311" t="s">
        <v>254</v>
      </c>
      <c r="O114" s="312"/>
      <c r="P114" s="312"/>
      <c r="Q114" s="312"/>
      <c r="R114" s="312"/>
      <c r="S114" s="312"/>
      <c r="T114" s="312"/>
      <c r="U114" s="313"/>
      <c r="V114" s="152">
        <f>V113+V103</f>
        <v>0</v>
      </c>
    </row>
    <row r="115" spans="1:23" x14ac:dyDescent="0.25">
      <c r="B115" s="167"/>
      <c r="C115" s="167"/>
      <c r="D115" s="167"/>
      <c r="E115" s="167"/>
      <c r="F115" s="167"/>
      <c r="G115" s="167"/>
      <c r="H115" s="167"/>
      <c r="I115" s="167"/>
      <c r="J115" s="162"/>
      <c r="K115" s="162"/>
      <c r="L115" s="162"/>
      <c r="M115" s="1"/>
      <c r="N115" s="168"/>
      <c r="O115" s="168"/>
      <c r="P115" s="168"/>
      <c r="Q115" s="168"/>
      <c r="R115" s="168"/>
      <c r="S115" s="168"/>
      <c r="T115" s="168"/>
      <c r="U115" s="168"/>
      <c r="V115" s="162"/>
    </row>
    <row r="116" spans="1:23" x14ac:dyDescent="0.25">
      <c r="J116" s="1"/>
      <c r="P116" s="151"/>
    </row>
    <row r="117" spans="1:23" x14ac:dyDescent="0.25">
      <c r="A117" s="27"/>
      <c r="B117" s="374" t="s">
        <v>231</v>
      </c>
      <c r="C117" s="375"/>
      <c r="D117" s="375"/>
      <c r="E117" s="375"/>
      <c r="F117" s="375"/>
      <c r="G117" s="375"/>
      <c r="H117" s="375"/>
      <c r="I117" s="375"/>
      <c r="J117" s="375"/>
      <c r="K117" s="376"/>
      <c r="L117" s="155"/>
      <c r="M117" s="27"/>
      <c r="N117" s="377" t="s">
        <v>218</v>
      </c>
      <c r="O117" s="377"/>
      <c r="P117" s="377"/>
      <c r="Q117" s="377"/>
      <c r="R117" s="377"/>
      <c r="S117" s="377"/>
      <c r="T117" s="377"/>
      <c r="U117" s="377"/>
      <c r="V117" s="377"/>
      <c r="W117" s="377"/>
    </row>
    <row r="118" spans="1:23" ht="27.6" x14ac:dyDescent="0.25">
      <c r="A118" s="156" t="s">
        <v>4</v>
      </c>
      <c r="B118" s="297" t="s">
        <v>232</v>
      </c>
      <c r="C118" s="297"/>
      <c r="D118" s="297"/>
      <c r="E118" s="297"/>
      <c r="F118" s="297"/>
      <c r="G118" s="297"/>
      <c r="H118" s="297"/>
      <c r="I118" s="297"/>
      <c r="J118" s="78" t="s">
        <v>188</v>
      </c>
      <c r="K118" s="78" t="s">
        <v>247</v>
      </c>
      <c r="L118" s="122"/>
      <c r="M118" s="156" t="s">
        <v>4</v>
      </c>
      <c r="N118" s="297" t="s">
        <v>232</v>
      </c>
      <c r="O118" s="297"/>
      <c r="P118" s="297"/>
      <c r="Q118" s="297"/>
      <c r="R118" s="297"/>
      <c r="S118" s="297"/>
      <c r="T118" s="297"/>
      <c r="U118" s="297"/>
      <c r="V118" s="78" t="s">
        <v>188</v>
      </c>
      <c r="W118" s="65" t="s">
        <v>247</v>
      </c>
    </row>
    <row r="119" spans="1:23" ht="14.4" x14ac:dyDescent="0.3">
      <c r="A119" s="166"/>
      <c r="B119" s="366" t="s">
        <v>255</v>
      </c>
      <c r="C119" s="367"/>
      <c r="D119" s="367"/>
      <c r="E119" s="367"/>
      <c r="F119" s="367"/>
      <c r="G119" s="367"/>
      <c r="H119" s="367"/>
      <c r="I119" s="367"/>
      <c r="J119" s="367"/>
      <c r="K119" s="368"/>
      <c r="L119" s="157"/>
      <c r="M119" s="166"/>
      <c r="N119" s="366" t="s">
        <v>255</v>
      </c>
      <c r="O119" s="367"/>
      <c r="P119" s="367"/>
      <c r="Q119" s="367"/>
      <c r="R119" s="367"/>
      <c r="S119" s="367"/>
      <c r="T119" s="367"/>
      <c r="U119" s="367"/>
      <c r="V119" s="367"/>
      <c r="W119" s="368"/>
    </row>
    <row r="120" spans="1:23" x14ac:dyDescent="0.25">
      <c r="A120" s="158"/>
      <c r="B120" s="11">
        <v>1</v>
      </c>
      <c r="C120" s="371" t="s">
        <v>256</v>
      </c>
      <c r="D120" s="372"/>
      <c r="E120" s="372"/>
      <c r="F120" s="372"/>
      <c r="G120" s="372"/>
      <c r="H120" s="372"/>
      <c r="I120" s="373"/>
      <c r="J120" s="164"/>
      <c r="K120" s="166"/>
      <c r="L120" s="159"/>
      <c r="M120" s="158"/>
      <c r="N120" s="11">
        <v>1</v>
      </c>
      <c r="O120" s="371" t="s">
        <v>257</v>
      </c>
      <c r="P120" s="372"/>
      <c r="Q120" s="372"/>
      <c r="R120" s="372"/>
      <c r="S120" s="372"/>
      <c r="T120" s="372"/>
      <c r="U120" s="373"/>
      <c r="V120" s="164"/>
      <c r="W120" s="164"/>
    </row>
    <row r="121" spans="1:23" x14ac:dyDescent="0.25">
      <c r="A121" s="158"/>
      <c r="B121" s="11">
        <v>2</v>
      </c>
      <c r="C121" s="365" t="s">
        <v>258</v>
      </c>
      <c r="D121" s="365"/>
      <c r="E121" s="365"/>
      <c r="F121" s="365"/>
      <c r="G121" s="365"/>
      <c r="H121" s="365"/>
      <c r="I121" s="365"/>
      <c r="J121" s="164"/>
      <c r="K121" s="166"/>
      <c r="L121" s="159"/>
      <c r="M121" s="158"/>
      <c r="N121" s="11">
        <v>2</v>
      </c>
      <c r="O121" s="365" t="s">
        <v>259</v>
      </c>
      <c r="P121" s="365"/>
      <c r="Q121" s="365"/>
      <c r="R121" s="365"/>
      <c r="S121" s="365"/>
      <c r="T121" s="365"/>
      <c r="U121" s="365"/>
      <c r="V121" s="164"/>
      <c r="W121" s="164"/>
    </row>
    <row r="122" spans="1:23" x14ac:dyDescent="0.25">
      <c r="A122" s="158"/>
      <c r="B122" s="11">
        <v>3</v>
      </c>
      <c r="C122" s="318"/>
      <c r="D122" s="318"/>
      <c r="E122" s="318"/>
      <c r="F122" s="318"/>
      <c r="G122" s="318"/>
      <c r="H122" s="318"/>
      <c r="I122" s="318"/>
      <c r="J122" s="164"/>
      <c r="K122" s="166"/>
      <c r="L122" s="159"/>
      <c r="M122" s="158"/>
      <c r="N122" s="11">
        <v>3</v>
      </c>
      <c r="O122" s="365" t="s">
        <v>258</v>
      </c>
      <c r="P122" s="365"/>
      <c r="Q122" s="365"/>
      <c r="R122" s="365"/>
      <c r="S122" s="365"/>
      <c r="T122" s="365"/>
      <c r="U122" s="365"/>
      <c r="V122" s="164"/>
      <c r="W122" s="164"/>
    </row>
    <row r="123" spans="1:23" x14ac:dyDescent="0.25">
      <c r="A123" s="158"/>
      <c r="B123" s="11">
        <v>4</v>
      </c>
      <c r="C123" s="318"/>
      <c r="D123" s="318"/>
      <c r="E123" s="318"/>
      <c r="F123" s="318"/>
      <c r="G123" s="318"/>
      <c r="H123" s="318"/>
      <c r="I123" s="318"/>
      <c r="J123" s="164"/>
      <c r="K123" s="166"/>
      <c r="L123" s="159"/>
      <c r="M123" s="158"/>
      <c r="N123" s="11">
        <v>4</v>
      </c>
      <c r="O123" s="319"/>
      <c r="P123" s="320"/>
      <c r="Q123" s="320"/>
      <c r="R123" s="320"/>
      <c r="S123" s="320"/>
      <c r="T123" s="320"/>
      <c r="U123" s="321"/>
      <c r="V123" s="164"/>
      <c r="W123" s="164"/>
    </row>
    <row r="124" spans="1:23" x14ac:dyDescent="0.25">
      <c r="A124" s="158"/>
      <c r="B124" s="11">
        <v>5</v>
      </c>
      <c r="C124" s="361"/>
      <c r="D124" s="361"/>
      <c r="E124" s="361"/>
      <c r="F124" s="361"/>
      <c r="G124" s="361"/>
      <c r="H124" s="361"/>
      <c r="I124" s="361"/>
      <c r="J124" s="164"/>
      <c r="K124" s="166"/>
      <c r="L124" s="159"/>
      <c r="M124" s="158"/>
      <c r="N124" s="11">
        <v>5</v>
      </c>
      <c r="O124" s="362"/>
      <c r="P124" s="363"/>
      <c r="Q124" s="363"/>
      <c r="R124" s="363"/>
      <c r="S124" s="363"/>
      <c r="T124" s="363"/>
      <c r="U124" s="364"/>
      <c r="V124" s="164"/>
      <c r="W124" s="164"/>
    </row>
    <row r="125" spans="1:23" x14ac:dyDescent="0.25">
      <c r="A125" s="158"/>
      <c r="B125" s="11">
        <v>6</v>
      </c>
      <c r="C125" s="361"/>
      <c r="D125" s="361"/>
      <c r="E125" s="361"/>
      <c r="F125" s="361"/>
      <c r="G125" s="361"/>
      <c r="H125" s="361"/>
      <c r="I125" s="361"/>
      <c r="J125" s="164"/>
      <c r="K125" s="166"/>
      <c r="L125" s="159"/>
      <c r="M125" s="158"/>
      <c r="N125" s="11">
        <v>6</v>
      </c>
      <c r="O125" s="362"/>
      <c r="P125" s="363"/>
      <c r="Q125" s="363"/>
      <c r="R125" s="363"/>
      <c r="S125" s="363"/>
      <c r="T125" s="363"/>
      <c r="U125" s="364"/>
      <c r="V125" s="164"/>
      <c r="W125" s="164"/>
    </row>
    <row r="126" spans="1:23" x14ac:dyDescent="0.25">
      <c r="A126" s="158"/>
      <c r="B126" s="11">
        <v>7</v>
      </c>
      <c r="C126" s="361"/>
      <c r="D126" s="361"/>
      <c r="E126" s="361"/>
      <c r="F126" s="361"/>
      <c r="G126" s="361"/>
      <c r="H126" s="361"/>
      <c r="I126" s="361"/>
      <c r="J126" s="164"/>
      <c r="K126" s="166"/>
      <c r="L126" s="159"/>
      <c r="M126" s="158"/>
      <c r="N126" s="11">
        <v>7</v>
      </c>
      <c r="O126" s="362"/>
      <c r="P126" s="363"/>
      <c r="Q126" s="363"/>
      <c r="R126" s="363"/>
      <c r="S126" s="363"/>
      <c r="T126" s="363"/>
      <c r="U126" s="364"/>
      <c r="V126" s="164"/>
      <c r="W126" s="164"/>
    </row>
    <row r="127" spans="1:23" x14ac:dyDescent="0.25">
      <c r="A127" s="158"/>
      <c r="B127" s="11">
        <v>8</v>
      </c>
      <c r="C127" s="361"/>
      <c r="D127" s="361"/>
      <c r="E127" s="361"/>
      <c r="F127" s="361"/>
      <c r="G127" s="361"/>
      <c r="H127" s="361"/>
      <c r="I127" s="361"/>
      <c r="J127" s="164"/>
      <c r="K127" s="166"/>
      <c r="L127" s="159"/>
      <c r="M127" s="158"/>
      <c r="N127" s="11">
        <v>8</v>
      </c>
      <c r="O127" s="362"/>
      <c r="P127" s="363"/>
      <c r="Q127" s="363"/>
      <c r="R127" s="363"/>
      <c r="S127" s="363"/>
      <c r="T127" s="363"/>
      <c r="U127" s="364"/>
      <c r="V127" s="164"/>
      <c r="W127" s="164"/>
    </row>
    <row r="128" spans="1:23" x14ac:dyDescent="0.25">
      <c r="A128" s="158"/>
      <c r="B128" s="358" t="s">
        <v>249</v>
      </c>
      <c r="C128" s="359"/>
      <c r="D128" s="359"/>
      <c r="E128" s="359"/>
      <c r="F128" s="359"/>
      <c r="G128" s="359"/>
      <c r="H128" s="359"/>
      <c r="I128" s="360"/>
      <c r="J128" s="152">
        <f>SUM(J120:J127)</f>
        <v>0</v>
      </c>
      <c r="K128" s="152"/>
      <c r="L128" s="160"/>
      <c r="M128" s="158"/>
      <c r="N128" s="358" t="s">
        <v>249</v>
      </c>
      <c r="O128" s="359"/>
      <c r="P128" s="359"/>
      <c r="Q128" s="359"/>
      <c r="R128" s="359"/>
      <c r="S128" s="359"/>
      <c r="T128" s="359"/>
      <c r="U128" s="360"/>
      <c r="V128" s="152">
        <f>SUM(V120:V127)</f>
        <v>0</v>
      </c>
      <c r="W128" s="11"/>
    </row>
    <row r="129" spans="1:23" ht="14.4" x14ac:dyDescent="0.3">
      <c r="A129" s="166"/>
      <c r="B129" s="366" t="s">
        <v>250</v>
      </c>
      <c r="C129" s="367"/>
      <c r="D129" s="367"/>
      <c r="E129" s="367"/>
      <c r="F129" s="367"/>
      <c r="G129" s="367"/>
      <c r="H129" s="367"/>
      <c r="I129" s="367"/>
      <c r="J129" s="367"/>
      <c r="K129" s="368"/>
      <c r="L129" s="157"/>
      <c r="M129" s="166"/>
      <c r="N129" s="369" t="s">
        <v>250</v>
      </c>
      <c r="O129" s="370"/>
      <c r="P129" s="370"/>
      <c r="Q129" s="370"/>
      <c r="R129" s="370"/>
      <c r="S129" s="370"/>
      <c r="T129" s="370"/>
      <c r="U129" s="370"/>
      <c r="V129" s="370"/>
      <c r="W129" s="370"/>
    </row>
    <row r="130" spans="1:23" x14ac:dyDescent="0.25">
      <c r="A130" s="158"/>
      <c r="B130" s="11">
        <v>1</v>
      </c>
      <c r="C130" s="371" t="s">
        <v>251</v>
      </c>
      <c r="D130" s="372"/>
      <c r="E130" s="372"/>
      <c r="F130" s="372"/>
      <c r="G130" s="372"/>
      <c r="H130" s="372"/>
      <c r="I130" s="373"/>
      <c r="J130" s="164"/>
      <c r="K130" s="166"/>
      <c r="L130" s="159"/>
      <c r="M130" s="158"/>
      <c r="N130" s="11">
        <v>1</v>
      </c>
      <c r="O130" s="371" t="s">
        <v>236</v>
      </c>
      <c r="P130" s="372"/>
      <c r="Q130" s="372"/>
      <c r="R130" s="372"/>
      <c r="S130" s="372"/>
      <c r="T130" s="372"/>
      <c r="U130" s="373"/>
      <c r="V130" s="164"/>
      <c r="W130" s="164"/>
    </row>
    <row r="131" spans="1:23" x14ac:dyDescent="0.25">
      <c r="A131" s="158"/>
      <c r="B131" s="11">
        <v>2</v>
      </c>
      <c r="C131" s="365" t="s">
        <v>252</v>
      </c>
      <c r="D131" s="365"/>
      <c r="E131" s="365"/>
      <c r="F131" s="365"/>
      <c r="G131" s="365"/>
      <c r="H131" s="365"/>
      <c r="I131" s="365"/>
      <c r="J131" s="164"/>
      <c r="K131" s="166"/>
      <c r="L131" s="159"/>
      <c r="M131" s="158"/>
      <c r="N131" s="11">
        <v>2</v>
      </c>
      <c r="O131" s="365" t="s">
        <v>259</v>
      </c>
      <c r="P131" s="365"/>
      <c r="Q131" s="365"/>
      <c r="R131" s="365"/>
      <c r="S131" s="365"/>
      <c r="T131" s="365"/>
      <c r="U131" s="365"/>
      <c r="V131" s="164"/>
      <c r="W131" s="164"/>
    </row>
    <row r="132" spans="1:23" x14ac:dyDescent="0.25">
      <c r="A132" s="158"/>
      <c r="B132" s="11">
        <v>3</v>
      </c>
      <c r="C132" s="318"/>
      <c r="D132" s="318"/>
      <c r="E132" s="318"/>
      <c r="F132" s="318"/>
      <c r="G132" s="318"/>
      <c r="H132" s="318"/>
      <c r="I132" s="318"/>
      <c r="J132" s="164"/>
      <c r="K132" s="166"/>
      <c r="L132" s="159"/>
      <c r="M132" s="158"/>
      <c r="N132" s="11">
        <v>3</v>
      </c>
      <c r="O132" s="365" t="s">
        <v>252</v>
      </c>
      <c r="P132" s="365"/>
      <c r="Q132" s="365"/>
      <c r="R132" s="365"/>
      <c r="S132" s="365"/>
      <c r="T132" s="365"/>
      <c r="U132" s="365"/>
      <c r="V132" s="164"/>
      <c r="W132" s="164"/>
    </row>
    <row r="133" spans="1:23" x14ac:dyDescent="0.25">
      <c r="A133" s="158"/>
      <c r="B133" s="11">
        <v>4</v>
      </c>
      <c r="C133" s="318"/>
      <c r="D133" s="318"/>
      <c r="E133" s="318"/>
      <c r="F133" s="318"/>
      <c r="G133" s="318"/>
      <c r="H133" s="318"/>
      <c r="I133" s="318"/>
      <c r="J133" s="164"/>
      <c r="K133" s="166"/>
      <c r="L133" s="159"/>
      <c r="M133" s="158"/>
      <c r="N133" s="11">
        <v>4</v>
      </c>
      <c r="O133" s="319"/>
      <c r="P133" s="320"/>
      <c r="Q133" s="320"/>
      <c r="R133" s="320"/>
      <c r="S133" s="320"/>
      <c r="T133" s="320"/>
      <c r="U133" s="321"/>
      <c r="V133" s="164"/>
      <c r="W133" s="164"/>
    </row>
    <row r="134" spans="1:23" x14ac:dyDescent="0.25">
      <c r="A134" s="158"/>
      <c r="B134" s="11">
        <v>5</v>
      </c>
      <c r="C134" s="361"/>
      <c r="D134" s="361"/>
      <c r="E134" s="361"/>
      <c r="F134" s="361"/>
      <c r="G134" s="361"/>
      <c r="H134" s="361"/>
      <c r="I134" s="361"/>
      <c r="J134" s="164"/>
      <c r="K134" s="166"/>
      <c r="L134" s="159"/>
      <c r="M134" s="158"/>
      <c r="N134" s="11">
        <v>5</v>
      </c>
      <c r="O134" s="362"/>
      <c r="P134" s="363"/>
      <c r="Q134" s="363"/>
      <c r="R134" s="363"/>
      <c r="S134" s="363"/>
      <c r="T134" s="363"/>
      <c r="U134" s="364"/>
      <c r="V134" s="164"/>
      <c r="W134" s="164"/>
    </row>
    <row r="135" spans="1:23" x14ac:dyDescent="0.25">
      <c r="A135" s="158"/>
      <c r="B135" s="11">
        <v>6</v>
      </c>
      <c r="C135" s="361"/>
      <c r="D135" s="361"/>
      <c r="E135" s="361"/>
      <c r="F135" s="361"/>
      <c r="G135" s="361"/>
      <c r="H135" s="361"/>
      <c r="I135" s="361"/>
      <c r="J135" s="164"/>
      <c r="K135" s="166"/>
      <c r="L135" s="159"/>
      <c r="M135" s="158"/>
      <c r="N135" s="11">
        <v>6</v>
      </c>
      <c r="O135" s="362"/>
      <c r="P135" s="363"/>
      <c r="Q135" s="363"/>
      <c r="R135" s="363"/>
      <c r="S135" s="363"/>
      <c r="T135" s="363"/>
      <c r="U135" s="364"/>
      <c r="V135" s="164"/>
      <c r="W135" s="164"/>
    </row>
    <row r="136" spans="1:23" x14ac:dyDescent="0.25">
      <c r="A136" s="158"/>
      <c r="B136" s="11">
        <v>7</v>
      </c>
      <c r="C136" s="361"/>
      <c r="D136" s="361"/>
      <c r="E136" s="361"/>
      <c r="F136" s="361"/>
      <c r="G136" s="361"/>
      <c r="H136" s="361"/>
      <c r="I136" s="361"/>
      <c r="J136" s="164"/>
      <c r="K136" s="166"/>
      <c r="L136" s="159"/>
      <c r="M136" s="158"/>
      <c r="N136" s="11">
        <v>7</v>
      </c>
      <c r="O136" s="362"/>
      <c r="P136" s="363"/>
      <c r="Q136" s="363"/>
      <c r="R136" s="363"/>
      <c r="S136" s="363"/>
      <c r="T136" s="363"/>
      <c r="U136" s="364"/>
      <c r="V136" s="164"/>
      <c r="W136" s="164"/>
    </row>
    <row r="137" spans="1:23" x14ac:dyDescent="0.25">
      <c r="A137" s="158"/>
      <c r="B137" s="11">
        <v>8</v>
      </c>
      <c r="C137" s="361"/>
      <c r="D137" s="361"/>
      <c r="E137" s="361"/>
      <c r="F137" s="361"/>
      <c r="G137" s="361"/>
      <c r="H137" s="361"/>
      <c r="I137" s="361"/>
      <c r="J137" s="164"/>
      <c r="K137" s="166"/>
      <c r="L137" s="159"/>
      <c r="M137" s="158"/>
      <c r="N137" s="11">
        <v>8</v>
      </c>
      <c r="O137" s="362"/>
      <c r="P137" s="363"/>
      <c r="Q137" s="363"/>
      <c r="R137" s="363"/>
      <c r="S137" s="363"/>
      <c r="T137" s="363"/>
      <c r="U137" s="364"/>
      <c r="V137" s="164"/>
      <c r="W137" s="164"/>
    </row>
    <row r="138" spans="1:23" x14ac:dyDescent="0.25">
      <c r="A138" s="158"/>
      <c r="B138" s="358" t="s">
        <v>253</v>
      </c>
      <c r="C138" s="359"/>
      <c r="D138" s="359"/>
      <c r="E138" s="359"/>
      <c r="F138" s="359"/>
      <c r="G138" s="359"/>
      <c r="H138" s="359"/>
      <c r="I138" s="360"/>
      <c r="J138" s="152">
        <f>SUM(J130:J137)</f>
        <v>0</v>
      </c>
      <c r="K138" s="162"/>
      <c r="L138" s="162"/>
      <c r="M138" s="158"/>
      <c r="N138" s="358" t="s">
        <v>253</v>
      </c>
      <c r="O138" s="359"/>
      <c r="P138" s="359"/>
      <c r="Q138" s="359"/>
      <c r="R138" s="359"/>
      <c r="S138" s="359"/>
      <c r="T138" s="359"/>
      <c r="U138" s="360"/>
      <c r="V138" s="152">
        <f>SUM(V130:V137)</f>
        <v>0</v>
      </c>
    </row>
    <row r="139" spans="1:23" ht="29.7" customHeight="1" x14ac:dyDescent="0.25">
      <c r="A139" s="163"/>
      <c r="B139" s="311" t="s">
        <v>254</v>
      </c>
      <c r="C139" s="312"/>
      <c r="D139" s="312"/>
      <c r="E139" s="312"/>
      <c r="F139" s="312"/>
      <c r="G139" s="312"/>
      <c r="H139" s="312"/>
      <c r="I139" s="313"/>
      <c r="J139" s="152">
        <f>J138+J128</f>
        <v>0</v>
      </c>
      <c r="K139" s="162"/>
      <c r="L139" s="162"/>
      <c r="M139" s="163"/>
      <c r="N139" s="311" t="s">
        <v>254</v>
      </c>
      <c r="O139" s="312"/>
      <c r="P139" s="312"/>
      <c r="Q139" s="312"/>
      <c r="R139" s="312"/>
      <c r="S139" s="312"/>
      <c r="T139" s="312"/>
      <c r="U139" s="313"/>
      <c r="V139" s="152">
        <f>V138+V128</f>
        <v>0</v>
      </c>
    </row>
    <row r="140" spans="1:23" x14ac:dyDescent="0.25">
      <c r="B140" s="167"/>
      <c r="C140" s="167"/>
      <c r="D140" s="167"/>
      <c r="E140" s="167"/>
      <c r="F140" s="167"/>
      <c r="G140" s="167"/>
      <c r="H140" s="167"/>
      <c r="I140" s="167"/>
      <c r="J140" s="162"/>
      <c r="K140" s="162"/>
      <c r="L140" s="162"/>
      <c r="M140" s="1"/>
      <c r="N140" s="168"/>
      <c r="O140" s="168"/>
      <c r="P140" s="168"/>
      <c r="Q140" s="168"/>
      <c r="R140" s="168"/>
      <c r="S140" s="168"/>
      <c r="T140" s="168"/>
      <c r="U140" s="168"/>
      <c r="V140" s="162"/>
    </row>
    <row r="141" spans="1:23" x14ac:dyDescent="0.25">
      <c r="J141" s="1"/>
      <c r="P141" s="151"/>
    </row>
    <row r="142" spans="1:23" x14ac:dyDescent="0.25">
      <c r="A142" s="27"/>
      <c r="B142" s="374" t="s">
        <v>231</v>
      </c>
      <c r="C142" s="375"/>
      <c r="D142" s="375"/>
      <c r="E142" s="375"/>
      <c r="F142" s="375"/>
      <c r="G142" s="375"/>
      <c r="H142" s="375"/>
      <c r="I142" s="375"/>
      <c r="J142" s="375"/>
      <c r="K142" s="376"/>
      <c r="L142" s="155"/>
      <c r="M142" s="27"/>
      <c r="N142" s="377" t="s">
        <v>218</v>
      </c>
      <c r="O142" s="377"/>
      <c r="P142" s="377"/>
      <c r="Q142" s="377"/>
      <c r="R142" s="377"/>
      <c r="S142" s="377"/>
      <c r="T142" s="377"/>
      <c r="U142" s="377"/>
      <c r="V142" s="377"/>
      <c r="W142" s="377"/>
    </row>
    <row r="143" spans="1:23" ht="27.6" x14ac:dyDescent="0.25">
      <c r="A143" s="156" t="s">
        <v>4</v>
      </c>
      <c r="B143" s="297" t="s">
        <v>232</v>
      </c>
      <c r="C143" s="297"/>
      <c r="D143" s="297"/>
      <c r="E143" s="297"/>
      <c r="F143" s="297"/>
      <c r="G143" s="297"/>
      <c r="H143" s="297"/>
      <c r="I143" s="297"/>
      <c r="J143" s="78" t="s">
        <v>188</v>
      </c>
      <c r="K143" s="78" t="s">
        <v>247</v>
      </c>
      <c r="L143" s="122"/>
      <c r="M143" s="156" t="s">
        <v>4</v>
      </c>
      <c r="N143" s="297" t="s">
        <v>232</v>
      </c>
      <c r="O143" s="297"/>
      <c r="P143" s="297"/>
      <c r="Q143" s="297"/>
      <c r="R143" s="297"/>
      <c r="S143" s="297"/>
      <c r="T143" s="297"/>
      <c r="U143" s="297"/>
      <c r="V143" s="78" t="s">
        <v>188</v>
      </c>
      <c r="W143" s="65" t="s">
        <v>247</v>
      </c>
    </row>
    <row r="144" spans="1:23" ht="14.4" x14ac:dyDescent="0.3">
      <c r="A144" s="166"/>
      <c r="B144" s="366" t="s">
        <v>255</v>
      </c>
      <c r="C144" s="367"/>
      <c r="D144" s="367"/>
      <c r="E144" s="367"/>
      <c r="F144" s="367"/>
      <c r="G144" s="367"/>
      <c r="H144" s="367"/>
      <c r="I144" s="367"/>
      <c r="J144" s="367"/>
      <c r="K144" s="368"/>
      <c r="L144" s="157"/>
      <c r="M144" s="166"/>
      <c r="N144" s="366" t="s">
        <v>255</v>
      </c>
      <c r="O144" s="367"/>
      <c r="P144" s="367"/>
      <c r="Q144" s="367"/>
      <c r="R144" s="367"/>
      <c r="S144" s="367"/>
      <c r="T144" s="367"/>
      <c r="U144" s="367"/>
      <c r="V144" s="367"/>
      <c r="W144" s="368"/>
    </row>
    <row r="145" spans="1:23" x14ac:dyDescent="0.25">
      <c r="A145" s="158"/>
      <c r="B145" s="11">
        <v>1</v>
      </c>
      <c r="C145" s="371" t="s">
        <v>256</v>
      </c>
      <c r="D145" s="372"/>
      <c r="E145" s="372"/>
      <c r="F145" s="372"/>
      <c r="G145" s="372"/>
      <c r="H145" s="372"/>
      <c r="I145" s="373"/>
      <c r="J145" s="164"/>
      <c r="K145" s="166"/>
      <c r="L145" s="159"/>
      <c r="M145" s="158"/>
      <c r="N145" s="11">
        <v>1</v>
      </c>
      <c r="O145" s="371" t="s">
        <v>257</v>
      </c>
      <c r="P145" s="372"/>
      <c r="Q145" s="372"/>
      <c r="R145" s="372"/>
      <c r="S145" s="372"/>
      <c r="T145" s="372"/>
      <c r="U145" s="373"/>
      <c r="V145" s="164"/>
      <c r="W145" s="164"/>
    </row>
    <row r="146" spans="1:23" x14ac:dyDescent="0.25">
      <c r="A146" s="158"/>
      <c r="B146" s="11">
        <v>2</v>
      </c>
      <c r="C146" s="365" t="s">
        <v>258</v>
      </c>
      <c r="D146" s="365"/>
      <c r="E146" s="365"/>
      <c r="F146" s="365"/>
      <c r="G146" s="365"/>
      <c r="H146" s="365"/>
      <c r="I146" s="365"/>
      <c r="J146" s="164"/>
      <c r="K146" s="166"/>
      <c r="L146" s="159"/>
      <c r="M146" s="158"/>
      <c r="N146" s="11">
        <v>2</v>
      </c>
      <c r="O146" s="365" t="s">
        <v>260</v>
      </c>
      <c r="P146" s="365"/>
      <c r="Q146" s="365"/>
      <c r="R146" s="365"/>
      <c r="S146" s="365"/>
      <c r="T146" s="365"/>
      <c r="U146" s="365"/>
      <c r="V146" s="164"/>
      <c r="W146" s="164"/>
    </row>
    <row r="147" spans="1:23" x14ac:dyDescent="0.25">
      <c r="A147" s="158"/>
      <c r="B147" s="11">
        <v>3</v>
      </c>
      <c r="C147" s="318"/>
      <c r="D147" s="318"/>
      <c r="E147" s="318"/>
      <c r="F147" s="318"/>
      <c r="G147" s="318"/>
      <c r="H147" s="318"/>
      <c r="I147" s="318"/>
      <c r="J147" s="164"/>
      <c r="K147" s="166"/>
      <c r="L147" s="159"/>
      <c r="M147" s="158"/>
      <c r="N147" s="11">
        <v>3</v>
      </c>
      <c r="O147" s="365" t="s">
        <v>258</v>
      </c>
      <c r="P147" s="365"/>
      <c r="Q147" s="365"/>
      <c r="R147" s="365"/>
      <c r="S147" s="365"/>
      <c r="T147" s="365"/>
      <c r="U147" s="365"/>
      <c r="V147" s="164"/>
      <c r="W147" s="164"/>
    </row>
    <row r="148" spans="1:23" x14ac:dyDescent="0.25">
      <c r="A148" s="158"/>
      <c r="B148" s="11">
        <v>4</v>
      </c>
      <c r="C148" s="318"/>
      <c r="D148" s="318"/>
      <c r="E148" s="318"/>
      <c r="F148" s="318"/>
      <c r="G148" s="318"/>
      <c r="H148" s="318"/>
      <c r="I148" s="318"/>
      <c r="J148" s="164"/>
      <c r="K148" s="166"/>
      <c r="L148" s="159"/>
      <c r="M148" s="158"/>
      <c r="N148" s="11">
        <v>4</v>
      </c>
      <c r="O148" s="319"/>
      <c r="P148" s="320"/>
      <c r="Q148" s="320"/>
      <c r="R148" s="320"/>
      <c r="S148" s="320"/>
      <c r="T148" s="320"/>
      <c r="U148" s="321"/>
      <c r="V148" s="164"/>
      <c r="W148" s="164"/>
    </row>
    <row r="149" spans="1:23" x14ac:dyDescent="0.25">
      <c r="A149" s="158"/>
      <c r="B149" s="11">
        <v>5</v>
      </c>
      <c r="C149" s="361"/>
      <c r="D149" s="361"/>
      <c r="E149" s="361"/>
      <c r="F149" s="361"/>
      <c r="G149" s="361"/>
      <c r="H149" s="361"/>
      <c r="I149" s="361"/>
      <c r="J149" s="164"/>
      <c r="K149" s="166"/>
      <c r="L149" s="159"/>
      <c r="M149" s="158"/>
      <c r="N149" s="11">
        <v>5</v>
      </c>
      <c r="O149" s="362"/>
      <c r="P149" s="363"/>
      <c r="Q149" s="363"/>
      <c r="R149" s="363"/>
      <c r="S149" s="363"/>
      <c r="T149" s="363"/>
      <c r="U149" s="364"/>
      <c r="V149" s="164"/>
      <c r="W149" s="164"/>
    </row>
    <row r="150" spans="1:23" x14ac:dyDescent="0.25">
      <c r="A150" s="158"/>
      <c r="B150" s="11">
        <v>6</v>
      </c>
      <c r="C150" s="361"/>
      <c r="D150" s="361"/>
      <c r="E150" s="361"/>
      <c r="F150" s="361"/>
      <c r="G150" s="361"/>
      <c r="H150" s="361"/>
      <c r="I150" s="361"/>
      <c r="J150" s="164"/>
      <c r="K150" s="166"/>
      <c r="L150" s="159"/>
      <c r="M150" s="158"/>
      <c r="N150" s="11">
        <v>6</v>
      </c>
      <c r="O150" s="362"/>
      <c r="P150" s="363"/>
      <c r="Q150" s="363"/>
      <c r="R150" s="363"/>
      <c r="S150" s="363"/>
      <c r="T150" s="363"/>
      <c r="U150" s="364"/>
      <c r="V150" s="164"/>
      <c r="W150" s="164"/>
    </row>
    <row r="151" spans="1:23" x14ac:dyDescent="0.25">
      <c r="A151" s="158"/>
      <c r="B151" s="11">
        <v>7</v>
      </c>
      <c r="C151" s="361"/>
      <c r="D151" s="361"/>
      <c r="E151" s="361"/>
      <c r="F151" s="361"/>
      <c r="G151" s="361"/>
      <c r="H151" s="361"/>
      <c r="I151" s="361"/>
      <c r="J151" s="164"/>
      <c r="K151" s="166"/>
      <c r="L151" s="159"/>
      <c r="M151" s="158"/>
      <c r="N151" s="11">
        <v>7</v>
      </c>
      <c r="O151" s="362"/>
      <c r="P151" s="363"/>
      <c r="Q151" s="363"/>
      <c r="R151" s="363"/>
      <c r="S151" s="363"/>
      <c r="T151" s="363"/>
      <c r="U151" s="364"/>
      <c r="V151" s="164"/>
      <c r="W151" s="164"/>
    </row>
    <row r="152" spans="1:23" x14ac:dyDescent="0.25">
      <c r="A152" s="158"/>
      <c r="B152" s="11">
        <v>8</v>
      </c>
      <c r="C152" s="361"/>
      <c r="D152" s="361"/>
      <c r="E152" s="361"/>
      <c r="F152" s="361"/>
      <c r="G152" s="361"/>
      <c r="H152" s="361"/>
      <c r="I152" s="361"/>
      <c r="J152" s="164"/>
      <c r="K152" s="166"/>
      <c r="L152" s="159"/>
      <c r="M152" s="158"/>
      <c r="N152" s="11">
        <v>8</v>
      </c>
      <c r="O152" s="362"/>
      <c r="P152" s="363"/>
      <c r="Q152" s="363"/>
      <c r="R152" s="363"/>
      <c r="S152" s="363"/>
      <c r="T152" s="363"/>
      <c r="U152" s="364"/>
      <c r="V152" s="164"/>
      <c r="W152" s="164"/>
    </row>
    <row r="153" spans="1:23" x14ac:dyDescent="0.25">
      <c r="A153" s="158"/>
      <c r="B153" s="358" t="s">
        <v>249</v>
      </c>
      <c r="C153" s="359"/>
      <c r="D153" s="359"/>
      <c r="E153" s="359"/>
      <c r="F153" s="359"/>
      <c r="G153" s="359"/>
      <c r="H153" s="359"/>
      <c r="I153" s="360"/>
      <c r="J153" s="152">
        <f>SUM(J145:J152)</f>
        <v>0</v>
      </c>
      <c r="K153" s="152"/>
      <c r="L153" s="160"/>
      <c r="M153" s="158"/>
      <c r="N153" s="358" t="s">
        <v>249</v>
      </c>
      <c r="O153" s="359"/>
      <c r="P153" s="359"/>
      <c r="Q153" s="359"/>
      <c r="R153" s="359"/>
      <c r="S153" s="359"/>
      <c r="T153" s="359"/>
      <c r="U153" s="360"/>
      <c r="V153" s="152">
        <f>SUM(V145:V152)</f>
        <v>0</v>
      </c>
      <c r="W153" s="11"/>
    </row>
    <row r="154" spans="1:23" ht="14.4" x14ac:dyDescent="0.3">
      <c r="A154" s="166"/>
      <c r="B154" s="366" t="s">
        <v>250</v>
      </c>
      <c r="C154" s="367"/>
      <c r="D154" s="367"/>
      <c r="E154" s="367"/>
      <c r="F154" s="367"/>
      <c r="G154" s="367"/>
      <c r="H154" s="367"/>
      <c r="I154" s="367"/>
      <c r="J154" s="367"/>
      <c r="K154" s="368"/>
      <c r="L154" s="157"/>
      <c r="M154" s="166"/>
      <c r="N154" s="369" t="s">
        <v>250</v>
      </c>
      <c r="O154" s="370"/>
      <c r="P154" s="370"/>
      <c r="Q154" s="370"/>
      <c r="R154" s="370"/>
      <c r="S154" s="370"/>
      <c r="T154" s="370"/>
      <c r="U154" s="370"/>
      <c r="V154" s="370"/>
      <c r="W154" s="370"/>
    </row>
    <row r="155" spans="1:23" x14ac:dyDescent="0.25">
      <c r="A155" s="158"/>
      <c r="B155" s="11">
        <v>1</v>
      </c>
      <c r="C155" s="371" t="s">
        <v>251</v>
      </c>
      <c r="D155" s="372"/>
      <c r="E155" s="372"/>
      <c r="F155" s="372"/>
      <c r="G155" s="372"/>
      <c r="H155" s="372"/>
      <c r="I155" s="373"/>
      <c r="J155" s="164"/>
      <c r="K155" s="166"/>
      <c r="L155" s="159"/>
      <c r="M155" s="158"/>
      <c r="N155" s="11">
        <v>1</v>
      </c>
      <c r="O155" s="371" t="s">
        <v>236</v>
      </c>
      <c r="P155" s="372"/>
      <c r="Q155" s="372"/>
      <c r="R155" s="372"/>
      <c r="S155" s="372"/>
      <c r="T155" s="372"/>
      <c r="U155" s="373"/>
      <c r="V155" s="164"/>
      <c r="W155" s="164"/>
    </row>
    <row r="156" spans="1:23" x14ac:dyDescent="0.25">
      <c r="A156" s="158"/>
      <c r="B156" s="11">
        <v>2</v>
      </c>
      <c r="C156" s="365" t="s">
        <v>252</v>
      </c>
      <c r="D156" s="365"/>
      <c r="E156" s="365"/>
      <c r="F156" s="365"/>
      <c r="G156" s="365"/>
      <c r="H156" s="365"/>
      <c r="I156" s="365"/>
      <c r="J156" s="164"/>
      <c r="K156" s="166"/>
      <c r="L156" s="159"/>
      <c r="M156" s="158"/>
      <c r="N156" s="11">
        <v>2</v>
      </c>
      <c r="O156" s="365" t="s">
        <v>261</v>
      </c>
      <c r="P156" s="365"/>
      <c r="Q156" s="365"/>
      <c r="R156" s="365"/>
      <c r="S156" s="365"/>
      <c r="T156" s="365"/>
      <c r="U156" s="365"/>
      <c r="V156" s="164"/>
      <c r="W156" s="164"/>
    </row>
    <row r="157" spans="1:23" x14ac:dyDescent="0.25">
      <c r="A157" s="158"/>
      <c r="B157" s="11">
        <v>3</v>
      </c>
      <c r="C157" s="318"/>
      <c r="D157" s="318"/>
      <c r="E157" s="318"/>
      <c r="F157" s="318"/>
      <c r="G157" s="318"/>
      <c r="H157" s="318"/>
      <c r="I157" s="318"/>
      <c r="J157" s="164"/>
      <c r="K157" s="166"/>
      <c r="L157" s="159"/>
      <c r="M157" s="158"/>
      <c r="N157" s="11">
        <v>3</v>
      </c>
      <c r="O157" s="365" t="s">
        <v>252</v>
      </c>
      <c r="P157" s="365"/>
      <c r="Q157" s="365"/>
      <c r="R157" s="365"/>
      <c r="S157" s="365"/>
      <c r="T157" s="365"/>
      <c r="U157" s="365"/>
      <c r="V157" s="164"/>
      <c r="W157" s="164"/>
    </row>
    <row r="158" spans="1:23" x14ac:dyDescent="0.25">
      <c r="A158" s="158"/>
      <c r="B158" s="11">
        <v>4</v>
      </c>
      <c r="C158" s="318"/>
      <c r="D158" s="318"/>
      <c r="E158" s="318"/>
      <c r="F158" s="318"/>
      <c r="G158" s="318"/>
      <c r="H158" s="318"/>
      <c r="I158" s="318"/>
      <c r="J158" s="164"/>
      <c r="K158" s="166"/>
      <c r="L158" s="159"/>
      <c r="M158" s="158"/>
      <c r="N158" s="11">
        <v>4</v>
      </c>
      <c r="O158" s="319"/>
      <c r="P158" s="320"/>
      <c r="Q158" s="320"/>
      <c r="R158" s="320"/>
      <c r="S158" s="320"/>
      <c r="T158" s="320"/>
      <c r="U158" s="321"/>
      <c r="V158" s="164"/>
      <c r="W158" s="164"/>
    </row>
    <row r="159" spans="1:23" x14ac:dyDescent="0.25">
      <c r="A159" s="158"/>
      <c r="B159" s="11">
        <v>5</v>
      </c>
      <c r="C159" s="361"/>
      <c r="D159" s="361"/>
      <c r="E159" s="361"/>
      <c r="F159" s="361"/>
      <c r="G159" s="361"/>
      <c r="H159" s="361"/>
      <c r="I159" s="361"/>
      <c r="J159" s="164"/>
      <c r="K159" s="166"/>
      <c r="L159" s="159"/>
      <c r="M159" s="158"/>
      <c r="N159" s="11">
        <v>5</v>
      </c>
      <c r="O159" s="362"/>
      <c r="P159" s="363"/>
      <c r="Q159" s="363"/>
      <c r="R159" s="363"/>
      <c r="S159" s="363"/>
      <c r="T159" s="363"/>
      <c r="U159" s="364"/>
      <c r="V159" s="164"/>
      <c r="W159" s="164"/>
    </row>
    <row r="160" spans="1:23" x14ac:dyDescent="0.25">
      <c r="A160" s="158"/>
      <c r="B160" s="11">
        <v>6</v>
      </c>
      <c r="C160" s="361"/>
      <c r="D160" s="361"/>
      <c r="E160" s="361"/>
      <c r="F160" s="361"/>
      <c r="G160" s="361"/>
      <c r="H160" s="361"/>
      <c r="I160" s="361"/>
      <c r="J160" s="164"/>
      <c r="K160" s="166"/>
      <c r="L160" s="159"/>
      <c r="M160" s="158"/>
      <c r="N160" s="11">
        <v>6</v>
      </c>
      <c r="O160" s="362"/>
      <c r="P160" s="363"/>
      <c r="Q160" s="363"/>
      <c r="R160" s="363"/>
      <c r="S160" s="363"/>
      <c r="T160" s="363"/>
      <c r="U160" s="364"/>
      <c r="V160" s="164"/>
      <c r="W160" s="164"/>
    </row>
    <row r="161" spans="1:23" x14ac:dyDescent="0.25">
      <c r="A161" s="158"/>
      <c r="B161" s="11">
        <v>7</v>
      </c>
      <c r="C161" s="361"/>
      <c r="D161" s="361"/>
      <c r="E161" s="361"/>
      <c r="F161" s="361"/>
      <c r="G161" s="361"/>
      <c r="H161" s="361"/>
      <c r="I161" s="361"/>
      <c r="J161" s="164"/>
      <c r="K161" s="166"/>
      <c r="L161" s="159"/>
      <c r="M161" s="158"/>
      <c r="N161" s="11">
        <v>7</v>
      </c>
      <c r="O161" s="362"/>
      <c r="P161" s="363"/>
      <c r="Q161" s="363"/>
      <c r="R161" s="363"/>
      <c r="S161" s="363"/>
      <c r="T161" s="363"/>
      <c r="U161" s="364"/>
      <c r="V161" s="164"/>
      <c r="W161" s="164"/>
    </row>
    <row r="162" spans="1:23" x14ac:dyDescent="0.25">
      <c r="A162" s="158"/>
      <c r="B162" s="11">
        <v>8</v>
      </c>
      <c r="C162" s="361"/>
      <c r="D162" s="361"/>
      <c r="E162" s="361"/>
      <c r="F162" s="361"/>
      <c r="G162" s="361"/>
      <c r="H162" s="361"/>
      <c r="I162" s="361"/>
      <c r="J162" s="164"/>
      <c r="K162" s="166"/>
      <c r="L162" s="159"/>
      <c r="M162" s="158"/>
      <c r="N162" s="11">
        <v>8</v>
      </c>
      <c r="O162" s="362"/>
      <c r="P162" s="363"/>
      <c r="Q162" s="363"/>
      <c r="R162" s="363"/>
      <c r="S162" s="363"/>
      <c r="T162" s="363"/>
      <c r="U162" s="364"/>
      <c r="V162" s="164"/>
      <c r="W162" s="164"/>
    </row>
    <row r="163" spans="1:23" x14ac:dyDescent="0.25">
      <c r="A163" s="158"/>
      <c r="B163" s="358" t="s">
        <v>253</v>
      </c>
      <c r="C163" s="359"/>
      <c r="D163" s="359"/>
      <c r="E163" s="359"/>
      <c r="F163" s="359"/>
      <c r="G163" s="359"/>
      <c r="H163" s="359"/>
      <c r="I163" s="360"/>
      <c r="J163" s="152">
        <f>SUM(J155:J162)</f>
        <v>0</v>
      </c>
      <c r="K163" s="162"/>
      <c r="L163" s="162"/>
      <c r="M163" s="158"/>
      <c r="N163" s="358" t="s">
        <v>253</v>
      </c>
      <c r="O163" s="359"/>
      <c r="P163" s="359"/>
      <c r="Q163" s="359"/>
      <c r="R163" s="359"/>
      <c r="S163" s="359"/>
      <c r="T163" s="359"/>
      <c r="U163" s="360"/>
      <c r="V163" s="152">
        <f>SUM(V155:V162)</f>
        <v>0</v>
      </c>
    </row>
    <row r="164" spans="1:23" ht="31.95" customHeight="1" x14ac:dyDescent="0.25">
      <c r="A164" s="163"/>
      <c r="B164" s="311" t="s">
        <v>254</v>
      </c>
      <c r="C164" s="312"/>
      <c r="D164" s="312"/>
      <c r="E164" s="312"/>
      <c r="F164" s="312"/>
      <c r="G164" s="312"/>
      <c r="H164" s="312"/>
      <c r="I164" s="313"/>
      <c r="J164" s="152">
        <f>J163+J153</f>
        <v>0</v>
      </c>
      <c r="K164" s="162"/>
      <c r="L164" s="162"/>
      <c r="M164" s="163"/>
      <c r="N164" s="311" t="s">
        <v>254</v>
      </c>
      <c r="O164" s="312"/>
      <c r="P164" s="312"/>
      <c r="Q164" s="312"/>
      <c r="R164" s="312"/>
      <c r="S164" s="312"/>
      <c r="T164" s="312"/>
      <c r="U164" s="313"/>
      <c r="V164" s="152">
        <f>V163+V153</f>
        <v>0</v>
      </c>
    </row>
  </sheetData>
  <sheetProtection algorithmName="SHA-512" hashValue="mXdyn1Qy4fM6Cl7P+MUYDAIXYUR+pVIj2uYiUVOLoVjtErZKOu6P5b3WYK1nv7GjKv+HxHrtl7K3+S1SNu/nAg==" saltValue="RaqCuwS8Cu0O9yCcIzCHow==" spinCount="100000" sheet="1" objects="1" scenarios="1"/>
  <mergeCells count="259">
    <mergeCell ref="B63:I63"/>
    <mergeCell ref="N63:U63"/>
    <mergeCell ref="C59:I59"/>
    <mergeCell ref="O59:U59"/>
    <mergeCell ref="C60:I60"/>
    <mergeCell ref="O60:U60"/>
    <mergeCell ref="C61:I61"/>
    <mergeCell ref="O61:U61"/>
    <mergeCell ref="C55:I55"/>
    <mergeCell ref="O55:U55"/>
    <mergeCell ref="C56:I56"/>
    <mergeCell ref="O56:U56"/>
    <mergeCell ref="C57:I57"/>
    <mergeCell ref="O57:U57"/>
    <mergeCell ref="C58:I58"/>
    <mergeCell ref="O58:U58"/>
    <mergeCell ref="B62:I62"/>
    <mergeCell ref="N62:U62"/>
    <mergeCell ref="C50:I50"/>
    <mergeCell ref="O50:U50"/>
    <mergeCell ref="C51:I51"/>
    <mergeCell ref="O51:U51"/>
    <mergeCell ref="B52:I52"/>
    <mergeCell ref="N52:U52"/>
    <mergeCell ref="B53:K53"/>
    <mergeCell ref="N53:W53"/>
    <mergeCell ref="C54:I54"/>
    <mergeCell ref="O54:U54"/>
    <mergeCell ref="C45:I45"/>
    <mergeCell ref="O45:U45"/>
    <mergeCell ref="C46:I46"/>
    <mergeCell ref="O46:U46"/>
    <mergeCell ref="C47:I47"/>
    <mergeCell ref="O47:U47"/>
    <mergeCell ref="C48:I48"/>
    <mergeCell ref="O48:U48"/>
    <mergeCell ref="C49:I49"/>
    <mergeCell ref="O49:U49"/>
    <mergeCell ref="B41:K41"/>
    <mergeCell ref="N41:W41"/>
    <mergeCell ref="B43:K43"/>
    <mergeCell ref="N43:W43"/>
    <mergeCell ref="B42:I42"/>
    <mergeCell ref="N42:U42"/>
    <mergeCell ref="B39:V39"/>
    <mergeCell ref="C44:I44"/>
    <mergeCell ref="O44:U44"/>
    <mergeCell ref="C25:I25"/>
    <mergeCell ref="O25:U25"/>
    <mergeCell ref="C26:I26"/>
    <mergeCell ref="O26:U26"/>
    <mergeCell ref="B27:I27"/>
    <mergeCell ref="N27:U27"/>
    <mergeCell ref="B28:I28"/>
    <mergeCell ref="N28:U28"/>
    <mergeCell ref="W35:Z39"/>
    <mergeCell ref="B38:V38"/>
    <mergeCell ref="B67:K67"/>
    <mergeCell ref="N67:W67"/>
    <mergeCell ref="B68:I68"/>
    <mergeCell ref="N68:U68"/>
    <mergeCell ref="B69:K69"/>
    <mergeCell ref="N69:W69"/>
    <mergeCell ref="B17:L17"/>
    <mergeCell ref="N17:X17"/>
    <mergeCell ref="B18:I18"/>
    <mergeCell ref="N18:U18"/>
    <mergeCell ref="C19:I19"/>
    <mergeCell ref="O19:U19"/>
    <mergeCell ref="C20:I20"/>
    <mergeCell ref="O20:U20"/>
    <mergeCell ref="C21:I21"/>
    <mergeCell ref="O21:U21"/>
    <mergeCell ref="C22:I22"/>
    <mergeCell ref="O22:U22"/>
    <mergeCell ref="B29:I29"/>
    <mergeCell ref="N29:U29"/>
    <mergeCell ref="C23:I23"/>
    <mergeCell ref="O23:U23"/>
    <mergeCell ref="C24:I24"/>
    <mergeCell ref="O24:U24"/>
    <mergeCell ref="C73:I73"/>
    <mergeCell ref="O73:U73"/>
    <mergeCell ref="C74:I74"/>
    <mergeCell ref="O74:U74"/>
    <mergeCell ref="C75:I75"/>
    <mergeCell ref="O75:U75"/>
    <mergeCell ref="C70:I70"/>
    <mergeCell ref="O70:U70"/>
    <mergeCell ref="C71:I71"/>
    <mergeCell ref="O71:U71"/>
    <mergeCell ref="C72:I72"/>
    <mergeCell ref="O72:U72"/>
    <mergeCell ref="B79:K79"/>
    <mergeCell ref="N79:W79"/>
    <mergeCell ref="C80:I80"/>
    <mergeCell ref="O80:U80"/>
    <mergeCell ref="C81:I81"/>
    <mergeCell ref="O81:U81"/>
    <mergeCell ref="C76:I76"/>
    <mergeCell ref="O76:U76"/>
    <mergeCell ref="C77:I77"/>
    <mergeCell ref="O77:U77"/>
    <mergeCell ref="B78:I78"/>
    <mergeCell ref="N78:U78"/>
    <mergeCell ref="C85:I85"/>
    <mergeCell ref="O85:U85"/>
    <mergeCell ref="C86:I86"/>
    <mergeCell ref="O86:U86"/>
    <mergeCell ref="C87:I87"/>
    <mergeCell ref="O87:U87"/>
    <mergeCell ref="C82:I82"/>
    <mergeCell ref="O82:U82"/>
    <mergeCell ref="C83:I83"/>
    <mergeCell ref="O83:U83"/>
    <mergeCell ref="C84:I84"/>
    <mergeCell ref="O84:U84"/>
    <mergeCell ref="B93:I93"/>
    <mergeCell ref="N93:U93"/>
    <mergeCell ref="B94:K94"/>
    <mergeCell ref="N94:W94"/>
    <mergeCell ref="C95:I95"/>
    <mergeCell ref="O95:U95"/>
    <mergeCell ref="B88:I88"/>
    <mergeCell ref="N88:U88"/>
    <mergeCell ref="B89:I89"/>
    <mergeCell ref="N89:U89"/>
    <mergeCell ref="B92:K92"/>
    <mergeCell ref="N92:W92"/>
    <mergeCell ref="C99:I99"/>
    <mergeCell ref="O99:U99"/>
    <mergeCell ref="C100:I100"/>
    <mergeCell ref="O100:U100"/>
    <mergeCell ref="C101:I101"/>
    <mergeCell ref="O101:U101"/>
    <mergeCell ref="C96:I96"/>
    <mergeCell ref="O96:U96"/>
    <mergeCell ref="C97:I97"/>
    <mergeCell ref="O97:U97"/>
    <mergeCell ref="C98:I98"/>
    <mergeCell ref="O98:U98"/>
    <mergeCell ref="C105:I105"/>
    <mergeCell ref="O105:U105"/>
    <mergeCell ref="C106:I106"/>
    <mergeCell ref="O106:U106"/>
    <mergeCell ref="C107:I107"/>
    <mergeCell ref="O107:U107"/>
    <mergeCell ref="C102:I102"/>
    <mergeCell ref="O102:U102"/>
    <mergeCell ref="B103:I103"/>
    <mergeCell ref="N103:U103"/>
    <mergeCell ref="B104:K104"/>
    <mergeCell ref="N104:W104"/>
    <mergeCell ref="C111:I111"/>
    <mergeCell ref="O111:U111"/>
    <mergeCell ref="C112:I112"/>
    <mergeCell ref="O112:U112"/>
    <mergeCell ref="B113:I113"/>
    <mergeCell ref="N113:U113"/>
    <mergeCell ref="C108:I108"/>
    <mergeCell ref="O108:U108"/>
    <mergeCell ref="C109:I109"/>
    <mergeCell ref="O109:U109"/>
    <mergeCell ref="C110:I110"/>
    <mergeCell ref="O110:U110"/>
    <mergeCell ref="B119:K119"/>
    <mergeCell ref="N119:W119"/>
    <mergeCell ref="C120:I120"/>
    <mergeCell ref="O120:U120"/>
    <mergeCell ref="C121:I121"/>
    <mergeCell ref="O121:U121"/>
    <mergeCell ref="B114:I114"/>
    <mergeCell ref="N114:U114"/>
    <mergeCell ref="B117:K117"/>
    <mergeCell ref="N117:W117"/>
    <mergeCell ref="B118:I118"/>
    <mergeCell ref="N118:U118"/>
    <mergeCell ref="C125:I125"/>
    <mergeCell ref="O125:U125"/>
    <mergeCell ref="C126:I126"/>
    <mergeCell ref="O126:U126"/>
    <mergeCell ref="C127:I127"/>
    <mergeCell ref="O127:U127"/>
    <mergeCell ref="C122:I122"/>
    <mergeCell ref="O122:U122"/>
    <mergeCell ref="C123:I123"/>
    <mergeCell ref="O123:U123"/>
    <mergeCell ref="C124:I124"/>
    <mergeCell ref="O124:U124"/>
    <mergeCell ref="C131:I131"/>
    <mergeCell ref="O131:U131"/>
    <mergeCell ref="C132:I132"/>
    <mergeCell ref="O132:U132"/>
    <mergeCell ref="C133:I133"/>
    <mergeCell ref="O133:U133"/>
    <mergeCell ref="B128:I128"/>
    <mergeCell ref="N128:U128"/>
    <mergeCell ref="B129:K129"/>
    <mergeCell ref="N129:W129"/>
    <mergeCell ref="C130:I130"/>
    <mergeCell ref="O130:U130"/>
    <mergeCell ref="C137:I137"/>
    <mergeCell ref="O137:U137"/>
    <mergeCell ref="B138:I138"/>
    <mergeCell ref="N138:U138"/>
    <mergeCell ref="B139:I139"/>
    <mergeCell ref="N139:U139"/>
    <mergeCell ref="C134:I134"/>
    <mergeCell ref="O134:U134"/>
    <mergeCell ref="C135:I135"/>
    <mergeCell ref="O135:U135"/>
    <mergeCell ref="C136:I136"/>
    <mergeCell ref="O136:U136"/>
    <mergeCell ref="C145:I145"/>
    <mergeCell ref="O145:U145"/>
    <mergeCell ref="C146:I146"/>
    <mergeCell ref="O146:U146"/>
    <mergeCell ref="C147:I147"/>
    <mergeCell ref="O147:U147"/>
    <mergeCell ref="B142:K142"/>
    <mergeCell ref="N142:W142"/>
    <mergeCell ref="B143:I143"/>
    <mergeCell ref="N143:U143"/>
    <mergeCell ref="B144:K144"/>
    <mergeCell ref="N144:W144"/>
    <mergeCell ref="C151:I151"/>
    <mergeCell ref="O151:U151"/>
    <mergeCell ref="C152:I152"/>
    <mergeCell ref="O152:U152"/>
    <mergeCell ref="B153:I153"/>
    <mergeCell ref="N153:U153"/>
    <mergeCell ref="C148:I148"/>
    <mergeCell ref="O148:U148"/>
    <mergeCell ref="C149:I149"/>
    <mergeCell ref="O149:U149"/>
    <mergeCell ref="C150:I150"/>
    <mergeCell ref="O150:U150"/>
    <mergeCell ref="C157:I157"/>
    <mergeCell ref="O157:U157"/>
    <mergeCell ref="C158:I158"/>
    <mergeCell ref="O158:U158"/>
    <mergeCell ref="C159:I159"/>
    <mergeCell ref="O159:U159"/>
    <mergeCell ref="B154:K154"/>
    <mergeCell ref="N154:W154"/>
    <mergeCell ref="C155:I155"/>
    <mergeCell ref="O155:U155"/>
    <mergeCell ref="C156:I156"/>
    <mergeCell ref="O156:U156"/>
    <mergeCell ref="B163:I163"/>
    <mergeCell ref="N163:U163"/>
    <mergeCell ref="B164:I164"/>
    <mergeCell ref="N164:U164"/>
    <mergeCell ref="C160:I160"/>
    <mergeCell ref="O160:U160"/>
    <mergeCell ref="C161:I161"/>
    <mergeCell ref="O161:U161"/>
    <mergeCell ref="C162:I162"/>
    <mergeCell ref="O162:U162"/>
  </mergeCells>
  <dataValidations count="1">
    <dataValidation type="list" allowBlank="1" showInputMessage="1" showErrorMessage="1" sqref="K19:K26 W19:W26" xr:uid="{00000000-0002-0000-0800-000000000000}">
      <formula1>"Yes,No"</formula1>
    </dataValidation>
  </dataValidations>
  <pageMargins left="0.70866141732283472" right="0.70866141732283472" top="0.74803149606299213" bottom="0.74803149606299213" header="0.31496062992125984" footer="0.31496062992125984"/>
  <pageSetup scale="30" fitToHeight="2" orientation="portrait" r:id="rId1"/>
  <rowBreaks count="1" manualBreakCount="1">
    <brk id="115"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L15"/>
  <sheetViews>
    <sheetView workbookViewId="0">
      <selection activeCell="J24" sqref="J24"/>
    </sheetView>
  </sheetViews>
  <sheetFormatPr defaultRowHeight="14.4" x14ac:dyDescent="0.3"/>
  <cols>
    <col min="1" max="15" width="12.33203125" customWidth="1"/>
    <col min="16" max="16" width="10.5546875" customWidth="1"/>
    <col min="17" max="17" width="10.33203125" customWidth="1"/>
    <col min="18" max="18" width="10.33203125" bestFit="1" customWidth="1"/>
    <col min="19" max="19" width="10" customWidth="1"/>
    <col min="20" max="20" width="10.5546875" customWidth="1"/>
    <col min="21" max="21" width="10" customWidth="1"/>
    <col min="22" max="22" width="11.33203125" bestFit="1" customWidth="1"/>
    <col min="23" max="23" width="10.5546875" customWidth="1"/>
    <col min="24" max="24" width="10.33203125" customWidth="1"/>
    <col min="25" max="25" width="10" customWidth="1"/>
    <col min="26" max="26" width="11.33203125" bestFit="1" customWidth="1"/>
    <col min="27" max="27" width="9.88671875" customWidth="1"/>
    <col min="28" max="28" width="10" customWidth="1"/>
    <col min="29" max="29" width="9.6640625" customWidth="1"/>
    <col min="31" max="31" width="9.33203125" customWidth="1"/>
    <col min="32" max="32" width="9.6640625" bestFit="1" customWidth="1"/>
    <col min="33" max="33" width="9.88671875" customWidth="1"/>
    <col min="36" max="36" width="10.88671875" customWidth="1"/>
    <col min="37" max="37" width="9.6640625" customWidth="1"/>
  </cols>
  <sheetData>
    <row r="1" spans="1:38" x14ac:dyDescent="0.3">
      <c r="A1" s="3" t="s">
        <v>94</v>
      </c>
      <c r="B1" s="3"/>
      <c r="C1" s="3"/>
      <c r="D1" s="3"/>
      <c r="E1" s="3"/>
      <c r="F1" s="3"/>
      <c r="G1" s="3"/>
      <c r="H1" s="3"/>
      <c r="I1" s="3"/>
      <c r="J1" s="3"/>
      <c r="K1" s="3"/>
      <c r="L1" s="3"/>
      <c r="M1" s="3"/>
      <c r="N1" s="3"/>
      <c r="O1" s="3"/>
      <c r="P1" s="3"/>
      <c r="Q1" s="3"/>
      <c r="R1" s="3"/>
      <c r="S1" s="1"/>
      <c r="T1" s="1"/>
      <c r="U1" s="1"/>
      <c r="V1" s="1"/>
      <c r="W1" s="1"/>
      <c r="X1" s="1"/>
      <c r="Y1" s="1"/>
      <c r="Z1" s="1"/>
      <c r="AA1" s="1"/>
      <c r="AB1" s="1"/>
      <c r="AC1" s="1"/>
    </row>
    <row r="2" spans="1:38" x14ac:dyDescent="0.3">
      <c r="A2" s="11"/>
      <c r="B2" s="265">
        <v>2021</v>
      </c>
      <c r="C2" s="11"/>
      <c r="D2" s="11"/>
      <c r="E2" s="11"/>
      <c r="F2" s="11"/>
      <c r="G2" s="11"/>
      <c r="H2" s="11"/>
      <c r="I2" s="11"/>
      <c r="J2" s="11"/>
      <c r="K2" s="11"/>
      <c r="L2" s="265">
        <v>2020</v>
      </c>
      <c r="M2" s="11"/>
      <c r="N2" s="11"/>
      <c r="O2" s="11"/>
      <c r="P2" s="78">
        <v>2019</v>
      </c>
      <c r="Q2" s="78"/>
      <c r="R2" s="78"/>
      <c r="S2" s="11"/>
      <c r="T2" s="78">
        <v>2018</v>
      </c>
      <c r="U2" s="78"/>
      <c r="V2" s="78"/>
      <c r="W2" s="78"/>
      <c r="X2" s="78">
        <v>2017</v>
      </c>
      <c r="Y2" s="78"/>
      <c r="Z2" s="78"/>
      <c r="AA2" s="78"/>
      <c r="AB2" s="78">
        <v>2016</v>
      </c>
      <c r="AC2" s="78"/>
      <c r="AD2" s="78"/>
      <c r="AE2" s="78"/>
      <c r="AF2" s="78">
        <v>2015</v>
      </c>
      <c r="AG2" s="78"/>
      <c r="AH2" s="78"/>
      <c r="AI2" s="78"/>
      <c r="AJ2" s="78">
        <v>2014</v>
      </c>
      <c r="AK2" s="78"/>
      <c r="AL2" s="78"/>
    </row>
    <row r="3" spans="1:38" ht="69.599999999999994" x14ac:dyDescent="0.3">
      <c r="A3" s="18" t="s">
        <v>114</v>
      </c>
      <c r="B3" s="18" t="s">
        <v>262</v>
      </c>
      <c r="C3" s="18" t="s">
        <v>263</v>
      </c>
      <c r="D3" s="18" t="s">
        <v>264</v>
      </c>
      <c r="E3" s="65" t="s">
        <v>265</v>
      </c>
      <c r="F3" s="65" t="s">
        <v>266</v>
      </c>
      <c r="G3" s="65" t="s">
        <v>267</v>
      </c>
      <c r="H3" s="65" t="s">
        <v>115</v>
      </c>
      <c r="I3" s="65" t="s">
        <v>116</v>
      </c>
      <c r="J3" s="65" t="s">
        <v>117</v>
      </c>
      <c r="K3" s="18" t="s">
        <v>114</v>
      </c>
      <c r="L3" s="65" t="s">
        <v>115</v>
      </c>
      <c r="M3" s="65" t="s">
        <v>116</v>
      </c>
      <c r="N3" s="65" t="s">
        <v>117</v>
      </c>
      <c r="O3" s="18" t="s">
        <v>114</v>
      </c>
      <c r="P3" s="65" t="s">
        <v>115</v>
      </c>
      <c r="Q3" s="65" t="s">
        <v>116</v>
      </c>
      <c r="R3" s="65" t="s">
        <v>117</v>
      </c>
      <c r="S3" s="18" t="s">
        <v>114</v>
      </c>
      <c r="T3" s="65" t="s">
        <v>115</v>
      </c>
      <c r="U3" s="65" t="s">
        <v>116</v>
      </c>
      <c r="V3" s="65" t="s">
        <v>117</v>
      </c>
      <c r="W3" s="18" t="s">
        <v>114</v>
      </c>
      <c r="X3" s="65" t="s">
        <v>115</v>
      </c>
      <c r="Y3" s="65" t="s">
        <v>116</v>
      </c>
      <c r="Z3" s="65" t="s">
        <v>117</v>
      </c>
      <c r="AA3" s="18" t="s">
        <v>114</v>
      </c>
      <c r="AB3" s="65" t="s">
        <v>115</v>
      </c>
      <c r="AC3" s="65" t="s">
        <v>116</v>
      </c>
      <c r="AD3" s="65" t="s">
        <v>117</v>
      </c>
      <c r="AE3" s="18" t="s">
        <v>114</v>
      </c>
      <c r="AF3" s="65" t="s">
        <v>115</v>
      </c>
      <c r="AG3" s="65" t="s">
        <v>116</v>
      </c>
      <c r="AH3" s="65" t="s">
        <v>117</v>
      </c>
      <c r="AI3" s="18" t="s">
        <v>114</v>
      </c>
      <c r="AJ3" s="65" t="s">
        <v>115</v>
      </c>
      <c r="AK3" s="65" t="s">
        <v>116</v>
      </c>
      <c r="AL3" s="65" t="s">
        <v>117</v>
      </c>
    </row>
    <row r="4" spans="1:38" x14ac:dyDescent="0.3">
      <c r="A4" s="11" t="s">
        <v>118</v>
      </c>
      <c r="B4" s="20">
        <v>4.7099999999999998E-3</v>
      </c>
      <c r="C4" s="20">
        <v>5.0899999999999999E-3</v>
      </c>
      <c r="D4" s="20">
        <v>5.0099999999999997E-3</v>
      </c>
      <c r="E4" s="20">
        <v>8.6209999999999995E-2</v>
      </c>
      <c r="F4" s="20">
        <v>8.6730000000000002E-2</v>
      </c>
      <c r="G4" s="20">
        <v>8.2970000000000002E-2</v>
      </c>
      <c r="H4" s="20">
        <f>+B4+E4</f>
        <v>9.0920000000000001E-2</v>
      </c>
      <c r="I4" s="20">
        <f t="shared" ref="I4:J15" si="0">+C4+F4</f>
        <v>9.1819999999999999E-2</v>
      </c>
      <c r="J4" s="20">
        <f t="shared" si="0"/>
        <v>8.7980000000000003E-2</v>
      </c>
      <c r="K4" s="11" t="s">
        <v>118</v>
      </c>
      <c r="L4" s="263">
        <v>8.3229999999999998E-2</v>
      </c>
      <c r="M4" s="263">
        <v>9.9930000000000005E-2</v>
      </c>
      <c r="N4" s="263">
        <v>0.10231999999999999</v>
      </c>
      <c r="O4" s="11" t="s">
        <v>118</v>
      </c>
      <c r="P4" s="150">
        <v>6.7409999999999998E-2</v>
      </c>
      <c r="Q4" s="150">
        <v>8.3060000000000009E-2</v>
      </c>
      <c r="R4" s="150">
        <v>8.0920000000000006E-2</v>
      </c>
      <c r="S4" s="11" t="s">
        <v>118</v>
      </c>
      <c r="T4" s="19">
        <v>8.7770000000000001E-2</v>
      </c>
      <c r="U4" s="19">
        <v>6.3700000000000007E-2</v>
      </c>
      <c r="V4" s="19">
        <v>6.7360000000000003E-2</v>
      </c>
      <c r="W4" s="11" t="s">
        <v>118</v>
      </c>
      <c r="X4" s="19">
        <v>6.6869999999999999E-2</v>
      </c>
      <c r="Y4" s="19">
        <v>8.677E-2</v>
      </c>
      <c r="Z4" s="19">
        <v>8.2269999999999996E-2</v>
      </c>
      <c r="AA4" s="11" t="s">
        <v>118</v>
      </c>
      <c r="AB4" s="19">
        <v>8.4229999999999999E-2</v>
      </c>
      <c r="AC4" s="19">
        <v>9.214E-2</v>
      </c>
      <c r="AD4" s="19">
        <v>9.1789999999999997E-2</v>
      </c>
      <c r="AE4" s="11" t="s">
        <v>118</v>
      </c>
      <c r="AF4" s="19">
        <v>5.5490000000000005E-2</v>
      </c>
      <c r="AG4" s="19">
        <v>6.1609999999999998E-2</v>
      </c>
      <c r="AH4" s="19">
        <v>5.0680000000000003E-2</v>
      </c>
      <c r="AI4" s="11" t="s">
        <v>118</v>
      </c>
      <c r="AJ4" s="19">
        <v>3.6260000000000001E-2</v>
      </c>
      <c r="AK4" s="19">
        <v>1.806E-2</v>
      </c>
      <c r="AL4" s="19">
        <v>1.261E-2</v>
      </c>
    </row>
    <row r="5" spans="1:38" x14ac:dyDescent="0.3">
      <c r="A5" s="11" t="s">
        <v>119</v>
      </c>
      <c r="B5" s="20">
        <v>6.3400000000000001E-3</v>
      </c>
      <c r="C5" s="20">
        <v>5.4400000000000004E-3</v>
      </c>
      <c r="D5" s="20">
        <v>7.0899999999999999E-3</v>
      </c>
      <c r="E5" s="20">
        <v>9.851E-2</v>
      </c>
      <c r="F5" s="20">
        <v>3.712E-2</v>
      </c>
      <c r="G5" s="20">
        <v>5.042E-2</v>
      </c>
      <c r="H5" s="20">
        <f t="shared" ref="H5:H15" si="1">+B5+E5</f>
        <v>0.10485</v>
      </c>
      <c r="I5" s="20">
        <f t="shared" si="0"/>
        <v>4.2560000000000001E-2</v>
      </c>
      <c r="J5" s="20">
        <f t="shared" si="0"/>
        <v>5.7509999999999999E-2</v>
      </c>
      <c r="K5" s="11" t="s">
        <v>119</v>
      </c>
      <c r="L5" s="263">
        <v>0.12451000000000001</v>
      </c>
      <c r="M5" s="263">
        <v>0.11434999999999999</v>
      </c>
      <c r="N5" s="263">
        <v>0.11331000000000001</v>
      </c>
      <c r="O5" s="11" t="s">
        <v>119</v>
      </c>
      <c r="P5" s="150">
        <v>9.6569999999999989E-2</v>
      </c>
      <c r="Q5" s="150">
        <v>8.2360000000000003E-2</v>
      </c>
      <c r="R5" s="150">
        <v>8.8120000000000004E-2</v>
      </c>
      <c r="S5" s="11" t="s">
        <v>119</v>
      </c>
      <c r="T5" s="19">
        <v>7.3329999999999992E-2</v>
      </c>
      <c r="U5" s="19">
        <v>7.7049999999999993E-2</v>
      </c>
      <c r="V5" s="19">
        <v>8.1670000000000006E-2</v>
      </c>
      <c r="W5" s="11" t="s">
        <v>119</v>
      </c>
      <c r="X5" s="20">
        <v>0.10559</v>
      </c>
      <c r="Y5" s="20">
        <v>8.43E-2</v>
      </c>
      <c r="Z5" s="20">
        <v>8.6389999999999995E-2</v>
      </c>
      <c r="AA5" s="11" t="s">
        <v>119</v>
      </c>
      <c r="AB5" s="20">
        <v>0.10384</v>
      </c>
      <c r="AC5" s="20">
        <v>9.6780000000000005E-2</v>
      </c>
      <c r="AD5" s="20">
        <v>9.851E-2</v>
      </c>
      <c r="AE5" s="11" t="s">
        <v>119</v>
      </c>
      <c r="AF5" s="20">
        <v>6.9809999999999997E-2</v>
      </c>
      <c r="AG5" s="20">
        <v>4.095E-2</v>
      </c>
      <c r="AH5" s="20">
        <v>3.9609999999999999E-2</v>
      </c>
      <c r="AI5" s="11" t="s">
        <v>119</v>
      </c>
      <c r="AJ5" s="20">
        <v>2.231E-2</v>
      </c>
      <c r="AK5" s="20">
        <v>1.1180000000000001E-2</v>
      </c>
      <c r="AL5" s="20">
        <v>1.3300000000000001E-2</v>
      </c>
    </row>
    <row r="6" spans="1:38" x14ac:dyDescent="0.3">
      <c r="A6" s="11" t="s">
        <v>120</v>
      </c>
      <c r="B6" s="20">
        <v>4.81E-3</v>
      </c>
      <c r="C6" s="20">
        <v>6.5899999999999995E-3</v>
      </c>
      <c r="D6" s="20">
        <v>5.8799999999999998E-3</v>
      </c>
      <c r="E6" s="20">
        <v>7.9390000000000002E-2</v>
      </c>
      <c r="F6" s="20">
        <v>9.1799999999999993E-2</v>
      </c>
      <c r="G6" s="20">
        <v>9.0799999999999992E-2</v>
      </c>
      <c r="H6" s="20">
        <f t="shared" si="1"/>
        <v>8.4199999999999997E-2</v>
      </c>
      <c r="I6" s="20">
        <f t="shared" si="0"/>
        <v>9.8389999999999991E-2</v>
      </c>
      <c r="J6" s="20">
        <f t="shared" si="0"/>
        <v>9.6679999999999988E-2</v>
      </c>
      <c r="K6" s="11" t="s">
        <v>120</v>
      </c>
      <c r="L6" s="263">
        <v>0.10432</v>
      </c>
      <c r="M6" s="263">
        <v>0.11212000000000001</v>
      </c>
      <c r="N6" s="263">
        <v>0.11942</v>
      </c>
      <c r="O6" s="11" t="s">
        <v>120</v>
      </c>
      <c r="P6" s="150">
        <v>8.1049999999999997E-2</v>
      </c>
      <c r="Q6" s="150">
        <v>7.5749999999999998E-2</v>
      </c>
      <c r="R6" s="150">
        <v>8.0409999999999995E-2</v>
      </c>
      <c r="S6" s="11" t="s">
        <v>120</v>
      </c>
      <c r="T6" s="19">
        <v>7.8769999999999993E-2</v>
      </c>
      <c r="U6" s="19">
        <v>8.5949999999999999E-2</v>
      </c>
      <c r="V6" s="19">
        <v>9.4810000000000005E-2</v>
      </c>
      <c r="W6" s="11" t="s">
        <v>120</v>
      </c>
      <c r="X6" s="20">
        <v>8.4089999999999998E-2</v>
      </c>
      <c r="Y6" s="20">
        <v>6.8860000000000005E-2</v>
      </c>
      <c r="Z6" s="20">
        <v>7.1349999999999997E-2</v>
      </c>
      <c r="AA6" s="11" t="s">
        <v>120</v>
      </c>
      <c r="AB6" s="20">
        <v>9.0219999999999995E-2</v>
      </c>
      <c r="AC6" s="20">
        <v>0.10299</v>
      </c>
      <c r="AD6" s="20">
        <v>0.1061</v>
      </c>
      <c r="AE6" s="11" t="s">
        <v>120</v>
      </c>
      <c r="AF6" s="20">
        <v>3.6040000000000003E-2</v>
      </c>
      <c r="AG6" s="20">
        <v>5.74E-2</v>
      </c>
      <c r="AH6" s="20">
        <v>6.2899999999999998E-2</v>
      </c>
      <c r="AI6" s="11" t="s">
        <v>120</v>
      </c>
      <c r="AJ6" s="20">
        <v>1.103E-2</v>
      </c>
      <c r="AK6" s="20">
        <v>-8.0000000000000002E-3</v>
      </c>
      <c r="AL6" s="20">
        <v>-2.7E-4</v>
      </c>
    </row>
    <row r="7" spans="1:38" x14ac:dyDescent="0.3">
      <c r="A7" s="11" t="s">
        <v>121</v>
      </c>
      <c r="B7" s="20">
        <v>8.3000000000000001E-3</v>
      </c>
      <c r="C7" s="20">
        <v>7.0800000000000004E-3</v>
      </c>
      <c r="D7" s="20">
        <v>6.5499999999999994E-3</v>
      </c>
      <c r="E7" s="20">
        <v>6.139E-2</v>
      </c>
      <c r="F7" s="20">
        <v>0.11888</v>
      </c>
      <c r="G7" s="20">
        <v>0.10934000000000001</v>
      </c>
      <c r="H7" s="20">
        <f t="shared" si="1"/>
        <v>6.9690000000000002E-2</v>
      </c>
      <c r="I7" s="20">
        <f t="shared" si="0"/>
        <v>0.12595999999999999</v>
      </c>
      <c r="J7" s="20">
        <f t="shared" si="0"/>
        <v>0.11589000000000001</v>
      </c>
      <c r="K7" s="11" t="s">
        <v>121</v>
      </c>
      <c r="L7" s="263">
        <v>0.13707</v>
      </c>
      <c r="M7" s="263">
        <v>0.115</v>
      </c>
      <c r="N7" s="263">
        <v>0.115</v>
      </c>
      <c r="O7" s="11" t="s">
        <v>121</v>
      </c>
      <c r="P7" s="150">
        <v>8.1290000000000001E-2</v>
      </c>
      <c r="Q7" s="150">
        <v>0.12487999999999999</v>
      </c>
      <c r="R7" s="150">
        <v>0.12333</v>
      </c>
      <c r="S7" s="11" t="s">
        <v>121</v>
      </c>
      <c r="T7" s="19">
        <v>9.8099999999999993E-2</v>
      </c>
      <c r="U7" s="19">
        <v>0.10074</v>
      </c>
      <c r="V7" s="19">
        <v>9.9589999999999998E-2</v>
      </c>
      <c r="W7" s="11" t="s">
        <v>121</v>
      </c>
      <c r="X7" s="20">
        <v>6.8739999999999996E-2</v>
      </c>
      <c r="Y7" s="20">
        <v>0.10218000000000001</v>
      </c>
      <c r="Z7" s="20">
        <v>0.10778</v>
      </c>
      <c r="AA7" s="11" t="s">
        <v>121</v>
      </c>
      <c r="AB7" s="20">
        <v>0.12114999999999999</v>
      </c>
      <c r="AC7" s="20">
        <v>0.11176999999999999</v>
      </c>
      <c r="AD7" s="20">
        <v>0.11132</v>
      </c>
      <c r="AE7" s="11" t="s">
        <v>121</v>
      </c>
      <c r="AF7" s="20">
        <v>6.7049999999999998E-2</v>
      </c>
      <c r="AG7" s="20">
        <v>9.2679999999999998E-2</v>
      </c>
      <c r="AH7" s="20">
        <v>9.5590000000000008E-2</v>
      </c>
      <c r="AI7" s="11" t="s">
        <v>121</v>
      </c>
      <c r="AJ7" s="20">
        <v>-9.6500000000000006E-3</v>
      </c>
      <c r="AK7" s="20">
        <v>5.4530000000000002E-2</v>
      </c>
      <c r="AL7" s="20">
        <v>5.1979999999999998E-2</v>
      </c>
    </row>
    <row r="8" spans="1:38" x14ac:dyDescent="0.3">
      <c r="A8" s="11" t="s">
        <v>122</v>
      </c>
      <c r="B8" s="20">
        <v>6.7999999999999996E-3</v>
      </c>
      <c r="C8" s="20">
        <v>6.2500000000000003E-3</v>
      </c>
      <c r="D8" s="20">
        <v>6.2100000000000002E-3</v>
      </c>
      <c r="E8" s="20">
        <v>9.851E-2</v>
      </c>
      <c r="F8" s="20">
        <v>0.10066</v>
      </c>
      <c r="G8" s="20">
        <v>0.10054</v>
      </c>
      <c r="H8" s="20">
        <f t="shared" si="1"/>
        <v>0.10531</v>
      </c>
      <c r="I8" s="20">
        <f t="shared" si="0"/>
        <v>0.10691000000000001</v>
      </c>
      <c r="J8" s="20">
        <f t="shared" si="0"/>
        <v>0.10675000000000001</v>
      </c>
      <c r="K8" s="11" t="s">
        <v>122</v>
      </c>
      <c r="L8" s="263">
        <v>9.2930000000000013E-2</v>
      </c>
      <c r="M8" s="263">
        <v>0.115</v>
      </c>
      <c r="N8" s="263">
        <v>0.115</v>
      </c>
      <c r="O8" s="11" t="s">
        <v>122</v>
      </c>
      <c r="P8" s="150">
        <v>0.12859999999999999</v>
      </c>
      <c r="Q8" s="150">
        <v>0.13049000000000002</v>
      </c>
      <c r="R8" s="150">
        <v>0.12604000000000001</v>
      </c>
      <c r="S8" s="11" t="s">
        <v>122</v>
      </c>
      <c r="T8" s="19">
        <v>9.3920000000000003E-2</v>
      </c>
      <c r="U8" s="19">
        <v>0.13199</v>
      </c>
      <c r="V8" s="19">
        <v>0.10793000000000001</v>
      </c>
      <c r="W8" s="11" t="s">
        <v>122</v>
      </c>
      <c r="X8" s="20">
        <v>0.10623</v>
      </c>
      <c r="Y8" s="20">
        <v>0.12776000000000001</v>
      </c>
      <c r="Z8" s="20">
        <v>0.12307</v>
      </c>
      <c r="AA8" s="11" t="s">
        <v>122</v>
      </c>
      <c r="AB8" s="20">
        <v>0.10405</v>
      </c>
      <c r="AC8" s="20">
        <v>0.11493</v>
      </c>
      <c r="AD8" s="20">
        <v>0.10749</v>
      </c>
      <c r="AE8" s="11" t="s">
        <v>122</v>
      </c>
      <c r="AF8" s="20">
        <v>9.4159999999999994E-2</v>
      </c>
      <c r="AG8" s="20">
        <v>9.7299999999999998E-2</v>
      </c>
      <c r="AH8" s="20">
        <v>9.6680000000000002E-2</v>
      </c>
      <c r="AI8" s="11" t="s">
        <v>122</v>
      </c>
      <c r="AJ8" s="20">
        <v>5.3560000000000003E-2</v>
      </c>
      <c r="AK8" s="20">
        <v>7.3520000000000002E-2</v>
      </c>
      <c r="AL8" s="20">
        <v>7.1959999999999996E-2</v>
      </c>
    </row>
    <row r="9" spans="1:38" x14ac:dyDescent="0.3">
      <c r="A9" s="11" t="s">
        <v>123</v>
      </c>
      <c r="B9" s="20">
        <v>5.62E-3</v>
      </c>
      <c r="C9" s="20">
        <v>5.5599999999999998E-3</v>
      </c>
      <c r="D9" s="20">
        <v>5.8399999999999997E-3</v>
      </c>
      <c r="E9" s="20">
        <v>0.10790000000000001</v>
      </c>
      <c r="F9" s="20">
        <v>8.9329999999999993E-2</v>
      </c>
      <c r="G9" s="20">
        <v>8.6319999999999994E-2</v>
      </c>
      <c r="H9" s="20">
        <f t="shared" si="1"/>
        <v>0.11352000000000001</v>
      </c>
      <c r="I9" s="20">
        <f t="shared" si="0"/>
        <v>9.4889999999999988E-2</v>
      </c>
      <c r="J9" s="20">
        <f t="shared" si="0"/>
        <v>9.2159999999999992E-2</v>
      </c>
      <c r="K9" s="11" t="s">
        <v>123</v>
      </c>
      <c r="L9" s="263">
        <v>0.115</v>
      </c>
      <c r="M9" s="263">
        <v>0.115</v>
      </c>
      <c r="N9" s="263">
        <v>0.115</v>
      </c>
      <c r="O9" s="11" t="s">
        <v>123</v>
      </c>
      <c r="P9" s="150">
        <v>0.12444</v>
      </c>
      <c r="Q9" s="150">
        <v>0.14771999999999999</v>
      </c>
      <c r="R9" s="150">
        <v>0.13728000000000001</v>
      </c>
      <c r="S9" s="11" t="s">
        <v>123</v>
      </c>
      <c r="T9" s="19">
        <v>0.13336000000000001</v>
      </c>
      <c r="U9" s="19">
        <v>0.10238999999999999</v>
      </c>
      <c r="V9" s="19">
        <v>0.11896</v>
      </c>
      <c r="W9" s="11" t="s">
        <v>123</v>
      </c>
      <c r="X9" s="20">
        <v>0.11954000000000001</v>
      </c>
      <c r="Y9" s="20">
        <v>0.12562999999999999</v>
      </c>
      <c r="Z9" s="20">
        <v>0.11848</v>
      </c>
      <c r="AA9" s="11" t="s">
        <v>123</v>
      </c>
      <c r="AB9" s="20">
        <v>0.11650000000000001</v>
      </c>
      <c r="AC9" s="20">
        <v>9.3600000000000003E-2</v>
      </c>
      <c r="AD9" s="20">
        <v>9.5449999999999993E-2</v>
      </c>
      <c r="AE9" s="11" t="s">
        <v>123</v>
      </c>
      <c r="AF9" s="20">
        <v>9.2280000000000001E-2</v>
      </c>
      <c r="AG9" s="20">
        <v>9.7680000000000003E-2</v>
      </c>
      <c r="AH9" s="20">
        <v>9.5400000000000013E-2</v>
      </c>
      <c r="AI9" s="11" t="s">
        <v>123</v>
      </c>
      <c r="AJ9" s="20">
        <v>7.1900000000000006E-2</v>
      </c>
      <c r="AK9" s="20">
        <v>6.6640000000000005E-2</v>
      </c>
      <c r="AL9" s="20">
        <v>6.0249999999999998E-2</v>
      </c>
    </row>
    <row r="10" spans="1:38" x14ac:dyDescent="0.3">
      <c r="A10" s="11" t="s">
        <v>124</v>
      </c>
      <c r="B10" s="20">
        <v>4.4999999999999997E-3</v>
      </c>
      <c r="C10" s="20">
        <v>5.3600000000000002E-3</v>
      </c>
      <c r="D10" s="20">
        <v>5.5799999999999999E-3</v>
      </c>
      <c r="E10" s="20">
        <v>7.1620000000000003E-2</v>
      </c>
      <c r="F10" s="20">
        <v>7.2840000000000002E-2</v>
      </c>
      <c r="G10" s="20">
        <v>7.3599999999999999E-2</v>
      </c>
      <c r="H10" s="20">
        <f t="shared" si="1"/>
        <v>7.6120000000000007E-2</v>
      </c>
      <c r="I10" s="20">
        <f t="shared" si="0"/>
        <v>7.8200000000000006E-2</v>
      </c>
      <c r="J10" s="20">
        <f t="shared" si="0"/>
        <v>7.918E-2</v>
      </c>
      <c r="K10" s="11" t="s">
        <v>124</v>
      </c>
      <c r="L10" s="263">
        <v>0.10305</v>
      </c>
      <c r="M10" s="263">
        <v>9.493E-2</v>
      </c>
      <c r="N10" s="263">
        <v>9.9019999999999997E-2</v>
      </c>
      <c r="O10" s="11" t="s">
        <v>124</v>
      </c>
      <c r="P10" s="150">
        <v>0.13527</v>
      </c>
      <c r="Q10" s="150">
        <v>8.8540000000000008E-2</v>
      </c>
      <c r="R10" s="150">
        <v>9.6450000000000008E-2</v>
      </c>
      <c r="S10" s="11" t="s">
        <v>124</v>
      </c>
      <c r="T10" s="19">
        <v>8.5019999999999998E-2</v>
      </c>
      <c r="U10" s="19">
        <v>8.1230000000000011E-2</v>
      </c>
      <c r="V10" s="19">
        <v>7.7370000000000008E-2</v>
      </c>
      <c r="W10" s="11" t="s">
        <v>124</v>
      </c>
      <c r="X10" s="20">
        <v>0.10651999999999999</v>
      </c>
      <c r="Y10" s="20">
        <v>0.10197000000000001</v>
      </c>
      <c r="Z10" s="20">
        <v>0.1128</v>
      </c>
      <c r="AA10" s="11" t="s">
        <v>124</v>
      </c>
      <c r="AB10" s="20">
        <v>7.6670000000000002E-2</v>
      </c>
      <c r="AC10" s="20">
        <v>8.412E-2</v>
      </c>
      <c r="AD10" s="20">
        <v>8.3059999999999995E-2</v>
      </c>
      <c r="AE10" s="11" t="s">
        <v>124</v>
      </c>
      <c r="AF10" s="20">
        <v>8.8880000000000001E-2</v>
      </c>
      <c r="AG10" s="20">
        <v>8.4129999999999996E-2</v>
      </c>
      <c r="AH10" s="20">
        <v>7.8829999999999997E-2</v>
      </c>
      <c r="AI10" s="11" t="s">
        <v>124</v>
      </c>
      <c r="AJ10" s="20">
        <v>5.9760000000000001E-2</v>
      </c>
      <c r="AK10" s="20">
        <v>5.7529999999999998E-2</v>
      </c>
      <c r="AL10" s="20">
        <v>6.2560000000000004E-2</v>
      </c>
    </row>
    <row r="11" spans="1:38" x14ac:dyDescent="0.3">
      <c r="A11" s="11" t="s">
        <v>125</v>
      </c>
      <c r="B11" s="20">
        <v>5.9699999999999996E-3</v>
      </c>
      <c r="C11" s="20">
        <v>5.0099999999999997E-3</v>
      </c>
      <c r="D11" s="20">
        <v>5.0800000000000003E-3</v>
      </c>
      <c r="E11" s="20">
        <v>8.1369999999999998E-2</v>
      </c>
      <c r="F11" s="20">
        <v>4.829E-2</v>
      </c>
      <c r="G11" s="20">
        <v>4.5990000000000003E-2</v>
      </c>
      <c r="H11" s="20">
        <f t="shared" si="1"/>
        <v>8.7340000000000001E-2</v>
      </c>
      <c r="I11" s="20">
        <f t="shared" si="0"/>
        <v>5.33E-2</v>
      </c>
      <c r="J11" s="20">
        <f t="shared" si="0"/>
        <v>5.1070000000000004E-2</v>
      </c>
      <c r="K11" s="11" t="s">
        <v>125</v>
      </c>
      <c r="L11" s="263">
        <v>0.10231999999999999</v>
      </c>
      <c r="M11" s="263">
        <v>0.10621999999999999</v>
      </c>
      <c r="N11" s="263">
        <v>0.10348</v>
      </c>
      <c r="O11" s="11" t="s">
        <v>125</v>
      </c>
      <c r="P11" s="150">
        <v>7.2109999999999994E-2</v>
      </c>
      <c r="Q11" s="150">
        <v>0.10973999999999999</v>
      </c>
      <c r="R11" s="150">
        <v>0.12606999999999999</v>
      </c>
      <c r="S11" s="11" t="s">
        <v>125</v>
      </c>
      <c r="T11" s="19">
        <v>7.7900000000000011E-2</v>
      </c>
      <c r="U11" s="19">
        <v>7.324E-2</v>
      </c>
      <c r="V11" s="19">
        <v>7.4900000000000008E-2</v>
      </c>
      <c r="W11" s="11" t="s">
        <v>125</v>
      </c>
      <c r="X11" s="20">
        <v>0.115</v>
      </c>
      <c r="Y11" s="20">
        <v>0.10476000000000001</v>
      </c>
      <c r="Z11" s="20">
        <v>0.10109</v>
      </c>
      <c r="AA11" s="11" t="s">
        <v>125</v>
      </c>
      <c r="AB11" s="20">
        <v>8.5690000000000002E-2</v>
      </c>
      <c r="AC11" s="20">
        <v>7.0499999999999993E-2</v>
      </c>
      <c r="AD11" s="20">
        <v>7.1029999999999996E-2</v>
      </c>
      <c r="AE11" s="11" t="s">
        <v>125</v>
      </c>
      <c r="AF11" s="20">
        <v>8.8050000000000003E-2</v>
      </c>
      <c r="AG11" s="20">
        <v>7.3550000000000004E-2</v>
      </c>
      <c r="AH11" s="20">
        <v>8.0099999999999991E-2</v>
      </c>
      <c r="AI11" s="11" t="s">
        <v>125</v>
      </c>
      <c r="AJ11" s="20">
        <v>6.1079999999999995E-2</v>
      </c>
      <c r="AK11" s="20">
        <v>6.8970000000000004E-2</v>
      </c>
      <c r="AL11" s="20">
        <v>6.7610000000000003E-2</v>
      </c>
    </row>
    <row r="12" spans="1:38" x14ac:dyDescent="0.3">
      <c r="A12" s="11" t="s">
        <v>126</v>
      </c>
      <c r="B12" s="20">
        <v>4.7699999999999999E-3</v>
      </c>
      <c r="C12" s="20">
        <v>6.6E-3</v>
      </c>
      <c r="D12" s="20">
        <v>6.6900000000000006E-3</v>
      </c>
      <c r="E12" s="20">
        <v>5.042E-2</v>
      </c>
      <c r="F12" s="20">
        <v>6.581999999999999E-2</v>
      </c>
      <c r="G12" s="20">
        <v>7.5650000000000009E-2</v>
      </c>
      <c r="H12" s="20">
        <f t="shared" si="1"/>
        <v>5.5190000000000003E-2</v>
      </c>
      <c r="I12" s="20">
        <f t="shared" si="0"/>
        <v>7.2419999999999984E-2</v>
      </c>
      <c r="J12" s="20">
        <f t="shared" si="0"/>
        <v>8.234000000000001E-2</v>
      </c>
      <c r="K12" s="11" t="s">
        <v>126</v>
      </c>
      <c r="L12" s="263">
        <v>0.11573</v>
      </c>
      <c r="M12" s="263">
        <v>0.12792000000000001</v>
      </c>
      <c r="N12" s="263">
        <v>0.12176000000000001</v>
      </c>
      <c r="O12" s="11" t="s">
        <v>126</v>
      </c>
      <c r="P12" s="150">
        <v>0.12934000000000001</v>
      </c>
      <c r="Q12" s="150">
        <v>0.16391999999999998</v>
      </c>
      <c r="R12" s="150">
        <v>0.12262999999999999</v>
      </c>
      <c r="S12" s="11" t="s">
        <v>126</v>
      </c>
      <c r="T12" s="19">
        <v>8.4239999999999995E-2</v>
      </c>
      <c r="U12" s="19">
        <v>8.6599999999999996E-2</v>
      </c>
      <c r="V12" s="19">
        <v>8.584E-2</v>
      </c>
      <c r="W12" s="11" t="s">
        <v>126</v>
      </c>
      <c r="X12" s="20">
        <v>0.12739</v>
      </c>
      <c r="Y12" s="20">
        <v>9.8949999999999996E-2</v>
      </c>
      <c r="Z12" s="20">
        <v>8.8639999999999997E-2</v>
      </c>
      <c r="AA12" s="11" t="s">
        <v>126</v>
      </c>
      <c r="AB12" s="20">
        <v>7.0599999999999996E-2</v>
      </c>
      <c r="AC12" s="20">
        <v>9.1480000000000006E-2</v>
      </c>
      <c r="AD12" s="20">
        <v>9.5310000000000006E-2</v>
      </c>
      <c r="AE12" s="11" t="s">
        <v>126</v>
      </c>
      <c r="AF12" s="20">
        <v>8.270000000000001E-2</v>
      </c>
      <c r="AG12" s="20">
        <v>7.1910000000000002E-2</v>
      </c>
      <c r="AH12" s="20">
        <v>6.7030000000000006E-2</v>
      </c>
      <c r="AI12" s="11" t="s">
        <v>126</v>
      </c>
      <c r="AJ12" s="20">
        <v>8.0489999999999992E-2</v>
      </c>
      <c r="AK12" s="20">
        <v>8.072E-2</v>
      </c>
      <c r="AL12" s="20">
        <v>7.9629999999999992E-2</v>
      </c>
    </row>
    <row r="13" spans="1:38" x14ac:dyDescent="0.3">
      <c r="A13" s="11" t="s">
        <v>127</v>
      </c>
      <c r="B13" s="20">
        <v>7.5899999999999995E-3</v>
      </c>
      <c r="C13" s="20">
        <v>6.7800000000000004E-3</v>
      </c>
      <c r="D13" s="20">
        <v>5.96E-3</v>
      </c>
      <c r="E13" s="20">
        <v>6.6430000000000003E-2</v>
      </c>
      <c r="F13" s="20">
        <v>6.1859999999999998E-2</v>
      </c>
      <c r="G13" s="20">
        <v>5.2440000000000001E-2</v>
      </c>
      <c r="H13" s="20">
        <f t="shared" si="1"/>
        <v>7.4020000000000002E-2</v>
      </c>
      <c r="I13" s="20">
        <f t="shared" si="0"/>
        <v>6.8639999999999993E-2</v>
      </c>
      <c r="J13" s="20">
        <f t="shared" si="0"/>
        <v>5.8400000000000001E-2</v>
      </c>
      <c r="K13" s="11" t="s">
        <v>127</v>
      </c>
      <c r="L13" s="263">
        <v>0.14953999999999998</v>
      </c>
      <c r="M13" s="263">
        <v>0.13266</v>
      </c>
      <c r="N13" s="263">
        <v>0.12806000000000001</v>
      </c>
      <c r="O13" s="11" t="s">
        <v>127</v>
      </c>
      <c r="P13" s="150">
        <v>0.17877999999999999</v>
      </c>
      <c r="Q13" s="150">
        <v>0.11885999999999999</v>
      </c>
      <c r="R13" s="150">
        <v>0.1368</v>
      </c>
      <c r="S13" s="11" t="s">
        <v>127</v>
      </c>
      <c r="T13" s="19">
        <v>8.9209999999999998E-2</v>
      </c>
      <c r="U13" s="19">
        <v>0.11998</v>
      </c>
      <c r="V13" s="19">
        <v>0.12059</v>
      </c>
      <c r="W13" s="11" t="s">
        <v>127</v>
      </c>
      <c r="X13" s="20">
        <v>0.10212</v>
      </c>
      <c r="Y13" s="20">
        <v>0.11973</v>
      </c>
      <c r="Z13" s="20">
        <v>0.12562999999999999</v>
      </c>
      <c r="AA13" s="11" t="s">
        <v>127</v>
      </c>
      <c r="AB13" s="20">
        <v>9.7199999999999995E-2</v>
      </c>
      <c r="AC13" s="20">
        <v>0.1178</v>
      </c>
      <c r="AD13" s="20">
        <v>0.11226</v>
      </c>
      <c r="AE13" s="11" t="s">
        <v>127</v>
      </c>
      <c r="AF13" s="20">
        <v>6.3710000000000003E-2</v>
      </c>
      <c r="AG13" s="20">
        <v>7.1929999999999994E-2</v>
      </c>
      <c r="AH13" s="20">
        <v>7.5439999999999993E-2</v>
      </c>
      <c r="AI13" s="11" t="s">
        <v>127</v>
      </c>
      <c r="AJ13" s="20">
        <v>7.492E-2</v>
      </c>
      <c r="AK13" s="20">
        <v>0.10135</v>
      </c>
      <c r="AL13" s="20">
        <v>0.10014000000000001</v>
      </c>
    </row>
    <row r="14" spans="1:38" x14ac:dyDescent="0.3">
      <c r="A14" s="11" t="s">
        <v>128</v>
      </c>
      <c r="B14" s="20">
        <v>6.1200000000000004E-3</v>
      </c>
      <c r="C14" s="20">
        <v>5.8300000000000001E-3</v>
      </c>
      <c r="D14" s="20">
        <v>5.9500000000000004E-3</v>
      </c>
      <c r="E14" s="20">
        <v>5.7299999999999997E-2</v>
      </c>
      <c r="F14" s="20">
        <v>5.262E-2</v>
      </c>
      <c r="G14" s="20">
        <v>5.4170000000000003E-2</v>
      </c>
      <c r="H14" s="20">
        <f t="shared" si="1"/>
        <v>6.3420000000000004E-2</v>
      </c>
      <c r="I14" s="20">
        <f t="shared" si="0"/>
        <v>5.8450000000000002E-2</v>
      </c>
      <c r="J14" s="20">
        <f t="shared" si="0"/>
        <v>6.0120000000000007E-2</v>
      </c>
      <c r="K14" s="11" t="s">
        <v>128</v>
      </c>
      <c r="L14" s="263">
        <v>0.1167</v>
      </c>
      <c r="M14" s="263">
        <v>0.1142</v>
      </c>
      <c r="N14" s="263">
        <v>0.11705</v>
      </c>
      <c r="O14" s="11" t="s">
        <v>128</v>
      </c>
      <c r="P14" s="150">
        <v>0.10726999999999999</v>
      </c>
      <c r="Q14" s="150">
        <v>0.10109</v>
      </c>
      <c r="R14" s="150">
        <v>9.9530000000000007E-2</v>
      </c>
      <c r="S14" s="11" t="s">
        <v>128</v>
      </c>
      <c r="T14" s="19">
        <v>0.12235</v>
      </c>
      <c r="U14" s="19">
        <v>0.10540000000000001</v>
      </c>
      <c r="V14" s="19">
        <v>9.8549999999999999E-2</v>
      </c>
      <c r="W14" s="11" t="s">
        <v>128</v>
      </c>
      <c r="X14" s="20">
        <v>0.11164</v>
      </c>
      <c r="Y14" s="20">
        <v>9.6689999999999998E-2</v>
      </c>
      <c r="Z14" s="20">
        <v>9.7040000000000001E-2</v>
      </c>
      <c r="AA14" s="11" t="s">
        <v>128</v>
      </c>
      <c r="AB14" s="20">
        <v>0.12271</v>
      </c>
      <c r="AC14" s="20">
        <v>0.115</v>
      </c>
      <c r="AD14" s="20">
        <v>0.11108999999999999</v>
      </c>
      <c r="AE14" s="11" t="s">
        <v>128</v>
      </c>
      <c r="AF14" s="20">
        <v>7.6230000000000006E-2</v>
      </c>
      <c r="AG14" s="20">
        <v>0.12447999999999999</v>
      </c>
      <c r="AH14" s="20">
        <v>0.11320000000000001</v>
      </c>
      <c r="AI14" s="11" t="s">
        <v>128</v>
      </c>
      <c r="AJ14" s="20">
        <v>9.9010000000000001E-2</v>
      </c>
      <c r="AK14" s="20">
        <v>8.5040000000000004E-2</v>
      </c>
      <c r="AL14" s="20">
        <v>8.231999999999999E-2</v>
      </c>
    </row>
    <row r="15" spans="1:38" x14ac:dyDescent="0.3">
      <c r="A15" s="11" t="s">
        <v>129</v>
      </c>
      <c r="B15" s="20">
        <v>5.4099999999999999E-3</v>
      </c>
      <c r="C15" s="20">
        <v>5.0300000000000006E-3</v>
      </c>
      <c r="D15" s="20">
        <v>5.47E-3</v>
      </c>
      <c r="E15" s="20">
        <v>4.9020000000000001E-2</v>
      </c>
      <c r="F15" s="20">
        <v>5.4149999999999997E-2</v>
      </c>
      <c r="G15" s="20">
        <v>5.9679999999999997E-2</v>
      </c>
      <c r="H15" s="20">
        <f t="shared" si="1"/>
        <v>5.4429999999999999E-2</v>
      </c>
      <c r="I15" s="20">
        <f t="shared" si="0"/>
        <v>5.9179999999999996E-2</v>
      </c>
      <c r="J15" s="20">
        <f t="shared" si="0"/>
        <v>6.515E-2</v>
      </c>
      <c r="K15" s="11" t="s">
        <v>129</v>
      </c>
      <c r="L15" s="263">
        <v>0.10704000000000001</v>
      </c>
      <c r="M15" s="263">
        <v>0.10031</v>
      </c>
      <c r="N15" s="263">
        <v>0.10557999999999999</v>
      </c>
      <c r="O15" s="11" t="s">
        <v>129</v>
      </c>
      <c r="P15" s="150">
        <v>8.5690000000000002E-2</v>
      </c>
      <c r="Q15" s="150">
        <v>9.0659999999999991E-2</v>
      </c>
      <c r="R15" s="150">
        <v>9.3209999999999987E-2</v>
      </c>
      <c r="S15" s="11" t="s">
        <v>129</v>
      </c>
      <c r="T15" s="19">
        <v>9.1980000000000006E-2</v>
      </c>
      <c r="U15" s="19">
        <v>7.0669999999999997E-2</v>
      </c>
      <c r="V15" s="19">
        <v>7.4040000000000009E-2</v>
      </c>
      <c r="W15" s="11" t="s">
        <v>129</v>
      </c>
      <c r="X15" s="20">
        <v>8.3909999999999998E-2</v>
      </c>
      <c r="Y15" s="20">
        <v>9.6689999999999998E-2</v>
      </c>
      <c r="Z15" s="20">
        <v>9.2069999999999999E-2</v>
      </c>
      <c r="AA15" s="11" t="s">
        <v>129</v>
      </c>
      <c r="AB15" s="20">
        <v>0.10594000000000001</v>
      </c>
      <c r="AC15" s="20">
        <v>7.8719999999999998E-2</v>
      </c>
      <c r="AD15" s="20">
        <v>8.7080000000000005E-2</v>
      </c>
      <c r="AE15" s="11" t="s">
        <v>129</v>
      </c>
      <c r="AF15" s="20">
        <v>0.11462</v>
      </c>
      <c r="AG15" s="20">
        <v>8.8090000000000002E-2</v>
      </c>
      <c r="AH15" s="20">
        <v>9.4709999999999989E-2</v>
      </c>
      <c r="AI15" s="11" t="s">
        <v>129</v>
      </c>
      <c r="AJ15" s="20">
        <v>7.3180000000000009E-2</v>
      </c>
      <c r="AK15" s="20">
        <v>5.7889999999999997E-2</v>
      </c>
      <c r="AL15" s="20">
        <v>7.4439999999999992E-2</v>
      </c>
    </row>
  </sheetData>
  <sheetProtection algorithmName="SHA-512" hashValue="0t4HpUTrf49MOwtzJAB+Sd/GL4lOpZ6md+XJ9bERPUB8UCQ8lbdIteZc5wza4jH7wSQ2Go/GMJ6C4c4/ptQiug==" saltValue="tqDqNgXmMLkZTejvekdFWQ==" spinCount="100000" sheet="1" objects="1" scenarios="1"/>
  <phoneticPr fontId="26"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11F3-80B7-4A83-8447-6A22EEF3BC5E}">
  <sheetPr codeName="Sheet13"/>
  <dimension ref="A1:J79"/>
  <sheetViews>
    <sheetView showGridLines="0" topLeftCell="A34" zoomScale="96" zoomScaleNormal="96" workbookViewId="0">
      <selection activeCell="H52" sqref="H52"/>
    </sheetView>
  </sheetViews>
  <sheetFormatPr defaultColWidth="9.109375" defaultRowHeight="14.4" x14ac:dyDescent="0.3"/>
  <cols>
    <col min="1" max="1" width="31.6640625" style="170" bestFit="1" customWidth="1"/>
    <col min="2" max="2" width="13" style="170" bestFit="1" customWidth="1"/>
    <col min="3" max="4" width="13.109375" style="170" customWidth="1"/>
    <col min="5" max="5" width="13.33203125" style="170" bestFit="1" customWidth="1"/>
    <col min="6" max="6" width="13.109375" style="170" customWidth="1"/>
    <col min="7" max="10" width="13.5546875" style="170" customWidth="1"/>
    <col min="11" max="16384" width="9.109375" style="170"/>
  </cols>
  <sheetData>
    <row r="1" spans="1:8" x14ac:dyDescent="0.3">
      <c r="A1" s="222" t="s">
        <v>268</v>
      </c>
    </row>
    <row r="2" spans="1:8" x14ac:dyDescent="0.3">
      <c r="A2" s="224" t="s">
        <v>269</v>
      </c>
    </row>
    <row r="3" spans="1:8" x14ac:dyDescent="0.3">
      <c r="A3" s="171"/>
    </row>
    <row r="4" spans="1:8" x14ac:dyDescent="0.3">
      <c r="A4" s="225"/>
      <c r="B4" s="226"/>
      <c r="C4" s="227">
        <v>2017</v>
      </c>
      <c r="D4" s="227">
        <v>2018</v>
      </c>
      <c r="E4" s="227">
        <v>2019</v>
      </c>
      <c r="F4" s="227">
        <v>2020</v>
      </c>
      <c r="G4" s="228">
        <v>2021</v>
      </c>
      <c r="H4" s="228">
        <v>2022</v>
      </c>
    </row>
    <row r="5" spans="1:8" ht="20.399999999999999" x14ac:dyDescent="0.3">
      <c r="A5" s="229" t="s">
        <v>270</v>
      </c>
      <c r="B5" s="229" t="s">
        <v>271</v>
      </c>
      <c r="C5" s="230" t="s">
        <v>272</v>
      </c>
      <c r="D5" s="230" t="s">
        <v>273</v>
      </c>
      <c r="E5" s="230" t="s">
        <v>274</v>
      </c>
      <c r="F5" s="230" t="s">
        <v>275</v>
      </c>
      <c r="G5" s="231" t="s">
        <v>276</v>
      </c>
      <c r="H5" s="231" t="s">
        <v>277</v>
      </c>
    </row>
    <row r="6" spans="1:8" x14ac:dyDescent="0.3">
      <c r="A6" s="230" t="s">
        <v>278</v>
      </c>
      <c r="B6" s="230" t="s">
        <v>279</v>
      </c>
      <c r="C6" s="232"/>
      <c r="D6" s="232">
        <v>1014890149</v>
      </c>
      <c r="E6" s="232">
        <v>1180134300</v>
      </c>
      <c r="F6" s="232">
        <v>1262398966.51</v>
      </c>
      <c r="G6" s="233">
        <v>1628605783.3699999</v>
      </c>
      <c r="H6" s="233"/>
    </row>
    <row r="7" spans="1:8" x14ac:dyDescent="0.3">
      <c r="A7" s="230" t="s">
        <v>280</v>
      </c>
      <c r="B7" s="230" t="s">
        <v>281</v>
      </c>
      <c r="C7" s="234">
        <v>14259087</v>
      </c>
      <c r="D7" s="232">
        <v>12703182.199999999</v>
      </c>
      <c r="E7" s="232">
        <v>13063801.970000001</v>
      </c>
      <c r="F7" s="232">
        <v>13556749.18</v>
      </c>
      <c r="G7" s="233">
        <v>18497291.18</v>
      </c>
      <c r="H7" s="233"/>
    </row>
    <row r="8" spans="1:8" x14ac:dyDescent="0.3">
      <c r="A8" s="230" t="s">
        <v>282</v>
      </c>
      <c r="B8" s="230" t="s">
        <v>283</v>
      </c>
      <c r="C8" s="232">
        <v>569605.26</v>
      </c>
      <c r="D8" s="232">
        <v>397310.71</v>
      </c>
      <c r="E8" s="232">
        <v>329699.33</v>
      </c>
      <c r="F8" s="232">
        <v>89266.37</v>
      </c>
      <c r="G8" s="233">
        <v>385682.53</v>
      </c>
      <c r="H8" s="233"/>
    </row>
    <row r="9" spans="1:8" x14ac:dyDescent="0.3">
      <c r="A9" s="230" t="s">
        <v>284</v>
      </c>
      <c r="B9" s="230" t="s">
        <v>285</v>
      </c>
      <c r="C9" s="232">
        <v>51840362.549999997</v>
      </c>
      <c r="D9" s="232">
        <v>42563174.759999998</v>
      </c>
      <c r="E9" s="232">
        <v>45004208</v>
      </c>
      <c r="F9" s="232">
        <v>44193152</v>
      </c>
      <c r="G9" s="233">
        <v>56514280</v>
      </c>
      <c r="H9" s="233"/>
    </row>
    <row r="10" spans="1:8" x14ac:dyDescent="0.3">
      <c r="A10" s="230" t="s">
        <v>286</v>
      </c>
      <c r="B10" s="230" t="s">
        <v>287</v>
      </c>
      <c r="C10" s="232">
        <v>55432733.780000001</v>
      </c>
      <c r="D10" s="232">
        <v>44881232.030000001</v>
      </c>
      <c r="E10" s="232">
        <v>47321659.149999999</v>
      </c>
      <c r="F10" s="232">
        <v>48265531.009999998</v>
      </c>
      <c r="G10" s="233">
        <v>59756414.990000002</v>
      </c>
      <c r="H10" s="233"/>
    </row>
    <row r="11" spans="1:8" x14ac:dyDescent="0.3">
      <c r="A11" s="230" t="s">
        <v>288</v>
      </c>
      <c r="B11" s="230" t="s">
        <v>289</v>
      </c>
      <c r="C11" s="232">
        <v>106660608.55</v>
      </c>
      <c r="D11" s="232">
        <v>86580144.079999998</v>
      </c>
      <c r="E11" s="232">
        <v>89918883.590000004</v>
      </c>
      <c r="F11" s="232">
        <v>85146095.049999997</v>
      </c>
      <c r="G11" s="235">
        <v>114488823.8</v>
      </c>
      <c r="H11" s="235"/>
    </row>
    <row r="12" spans="1:8" x14ac:dyDescent="0.3">
      <c r="A12" s="230" t="s">
        <v>290</v>
      </c>
      <c r="B12" s="230" t="s">
        <v>291</v>
      </c>
      <c r="C12" s="232">
        <v>34782403.700000003</v>
      </c>
      <c r="D12" s="232">
        <v>28867682.5</v>
      </c>
      <c r="E12" s="232">
        <v>29490087.379999999</v>
      </c>
      <c r="F12" s="232">
        <v>29561762.32</v>
      </c>
      <c r="G12" s="235">
        <v>39962506.689999998</v>
      </c>
      <c r="H12" s="235"/>
    </row>
    <row r="13" spans="1:8" x14ac:dyDescent="0.3">
      <c r="A13" s="230" t="s">
        <v>292</v>
      </c>
      <c r="B13" s="230" t="s">
        <v>293</v>
      </c>
      <c r="C13" s="232">
        <v>8659823.7300000004</v>
      </c>
      <c r="D13" s="232">
        <v>7411980.1399999997</v>
      </c>
      <c r="E13" s="232">
        <v>7599130.8200000003</v>
      </c>
      <c r="F13" s="232">
        <v>7568699.6600000001</v>
      </c>
      <c r="G13" s="233">
        <v>10020335.300000001</v>
      </c>
      <c r="H13" s="233"/>
    </row>
    <row r="14" spans="1:8" x14ac:dyDescent="0.3">
      <c r="A14" s="230" t="s">
        <v>294</v>
      </c>
      <c r="B14" s="230" t="s">
        <v>295</v>
      </c>
      <c r="C14" s="232">
        <v>2161919.5699999998</v>
      </c>
      <c r="D14" s="232">
        <v>1704549.43</v>
      </c>
      <c r="E14" s="232">
        <v>1745868.6</v>
      </c>
      <c r="F14" s="232">
        <v>2042894.82</v>
      </c>
      <c r="G14" s="233">
        <v>2513469.4</v>
      </c>
      <c r="H14" s="233"/>
    </row>
    <row r="15" spans="1:8" x14ac:dyDescent="0.3">
      <c r="A15" s="230" t="s">
        <v>296</v>
      </c>
      <c r="B15" s="230" t="s">
        <v>297</v>
      </c>
      <c r="C15" s="232">
        <v>291428.18</v>
      </c>
      <c r="D15" s="232">
        <v>-272036.92</v>
      </c>
      <c r="E15" s="232">
        <v>2544543.5099999998</v>
      </c>
      <c r="F15" s="232">
        <v>2082241.89</v>
      </c>
      <c r="G15" s="233">
        <v>3456791</v>
      </c>
      <c r="H15" s="233"/>
    </row>
    <row r="16" spans="1:8" ht="20.399999999999999" x14ac:dyDescent="0.3">
      <c r="A16" s="230" t="s">
        <v>298</v>
      </c>
      <c r="B16" s="230" t="s">
        <v>299</v>
      </c>
      <c r="C16" s="232"/>
      <c r="D16" s="232"/>
      <c r="E16" s="232"/>
      <c r="F16" s="232"/>
      <c r="G16" s="233">
        <v>0</v>
      </c>
      <c r="H16" s="233"/>
    </row>
    <row r="17" spans="1:8" x14ac:dyDescent="0.3">
      <c r="A17" s="230" t="s">
        <v>300</v>
      </c>
      <c r="B17" s="230" t="s">
        <v>301</v>
      </c>
      <c r="C17" s="232">
        <v>15006345</v>
      </c>
      <c r="D17" s="232">
        <v>13936404.98</v>
      </c>
      <c r="E17" s="232">
        <v>12890539.93</v>
      </c>
      <c r="F17" s="232">
        <v>12777701.310000001</v>
      </c>
      <c r="G17" s="235">
        <v>17463622.809999999</v>
      </c>
      <c r="H17" s="235"/>
    </row>
    <row r="18" spans="1:8" x14ac:dyDescent="0.3">
      <c r="A18" s="230" t="s">
        <v>302</v>
      </c>
      <c r="B18" s="230" t="s">
        <v>303</v>
      </c>
      <c r="C18" s="232">
        <v>130422810.31999999</v>
      </c>
      <c r="D18" s="232">
        <v>107796308.70999999</v>
      </c>
      <c r="E18" s="232">
        <v>112529652</v>
      </c>
      <c r="F18" s="232">
        <v>107355893.69</v>
      </c>
      <c r="G18" s="233">
        <v>138280156.55000001</v>
      </c>
      <c r="H18" s="233"/>
    </row>
    <row r="19" spans="1:8" x14ac:dyDescent="0.3">
      <c r="A19" s="230" t="s">
        <v>304</v>
      </c>
      <c r="B19" s="230" t="s">
        <v>305</v>
      </c>
      <c r="C19" s="232">
        <v>18556064.239999998</v>
      </c>
      <c r="D19" s="232">
        <v>17731802.379999999</v>
      </c>
      <c r="E19" s="232">
        <v>18275384.34</v>
      </c>
      <c r="F19" s="232">
        <v>18820762.620000001</v>
      </c>
      <c r="G19" s="233">
        <v>25073322.600000001</v>
      </c>
      <c r="H19" s="233"/>
    </row>
    <row r="20" spans="1:8" x14ac:dyDescent="0.3">
      <c r="A20" s="230" t="s">
        <v>306</v>
      </c>
      <c r="B20" s="230" t="s">
        <v>307</v>
      </c>
      <c r="C20" s="232">
        <v>7584438.6100000003</v>
      </c>
      <c r="D20" s="232">
        <v>1111131.07</v>
      </c>
      <c r="E20" s="232">
        <v>5284996.4000000004</v>
      </c>
      <c r="F20" s="232">
        <v>1831305.86</v>
      </c>
      <c r="G20" s="233">
        <v>5239494</v>
      </c>
      <c r="H20" s="233"/>
    </row>
    <row r="21" spans="1:8" x14ac:dyDescent="0.3">
      <c r="A21" s="230" t="s">
        <v>308</v>
      </c>
      <c r="B21" s="230" t="s">
        <v>309</v>
      </c>
      <c r="C21" s="234"/>
      <c r="D21" s="234"/>
      <c r="E21" s="234"/>
      <c r="F21" s="232">
        <v>139698760.25</v>
      </c>
      <c r="G21" s="235">
        <v>261647627.69999999</v>
      </c>
      <c r="H21" s="235"/>
    </row>
    <row r="22" spans="1:8" x14ac:dyDescent="0.3">
      <c r="A22" s="230" t="s">
        <v>310</v>
      </c>
      <c r="B22" s="230" t="s">
        <v>311</v>
      </c>
      <c r="C22" s="232">
        <v>79583441.879999995</v>
      </c>
      <c r="D22" s="232">
        <v>82040566.909999996</v>
      </c>
      <c r="E22" s="232">
        <v>75202638.019999996</v>
      </c>
      <c r="F22" s="232">
        <v>65605109.240000002</v>
      </c>
      <c r="G22" s="233">
        <v>92232072.280000001</v>
      </c>
      <c r="H22" s="233"/>
    </row>
    <row r="23" spans="1:8" x14ac:dyDescent="0.3">
      <c r="A23" s="230" t="s">
        <v>312</v>
      </c>
      <c r="B23" s="230" t="s">
        <v>313</v>
      </c>
      <c r="C23" s="232">
        <v>362584761.30000001</v>
      </c>
      <c r="D23" s="234"/>
      <c r="E23" s="234"/>
      <c r="F23" s="234"/>
      <c r="G23" s="235"/>
      <c r="H23" s="235"/>
    </row>
    <row r="24" spans="1:8" x14ac:dyDescent="0.3">
      <c r="A24" s="230" t="s">
        <v>314</v>
      </c>
      <c r="B24" s="230" t="s">
        <v>315</v>
      </c>
      <c r="C24" s="232">
        <v>102491407.3</v>
      </c>
      <c r="D24" s="232">
        <v>94527381.709999993</v>
      </c>
      <c r="E24" s="232">
        <v>117578734.59999999</v>
      </c>
      <c r="F24" s="232">
        <v>123877363.59</v>
      </c>
      <c r="G24" s="233">
        <v>141975433.80000001</v>
      </c>
      <c r="H24" s="233"/>
    </row>
    <row r="25" spans="1:8" ht="20.399999999999999" x14ac:dyDescent="0.3">
      <c r="A25" s="230" t="s">
        <v>316</v>
      </c>
      <c r="B25" s="230" t="s">
        <v>317</v>
      </c>
      <c r="C25" s="232">
        <v>6697626.8099999996</v>
      </c>
      <c r="D25" s="232">
        <v>6034566.2699999996</v>
      </c>
      <c r="E25" s="232">
        <v>5446767.7599999998</v>
      </c>
      <c r="F25" s="232">
        <v>5885076.6299999999</v>
      </c>
      <c r="G25" s="235">
        <v>7523773.7199999997</v>
      </c>
      <c r="H25" s="235"/>
    </row>
    <row r="26" spans="1:8" x14ac:dyDescent="0.3">
      <c r="A26" s="230" t="s">
        <v>318</v>
      </c>
      <c r="B26" s="230" t="s">
        <v>319</v>
      </c>
      <c r="C26" s="232">
        <v>40684265.960000001</v>
      </c>
      <c r="D26" s="232">
        <v>31221321.559999999</v>
      </c>
      <c r="E26" s="232">
        <v>32410120.16</v>
      </c>
      <c r="F26" s="232">
        <v>32238763.390000001</v>
      </c>
      <c r="G26" s="233">
        <v>43869065.460000001</v>
      </c>
      <c r="H26" s="233"/>
    </row>
    <row r="27" spans="1:8" x14ac:dyDescent="0.3">
      <c r="A27" s="230" t="s">
        <v>320</v>
      </c>
      <c r="B27" s="230" t="s">
        <v>321</v>
      </c>
      <c r="C27" s="232">
        <v>28617753.789999999</v>
      </c>
      <c r="D27" s="232">
        <v>24576757.550000001</v>
      </c>
      <c r="E27" s="232">
        <v>26626313.629999999</v>
      </c>
      <c r="F27" s="232">
        <v>24752757.620000001</v>
      </c>
      <c r="G27" s="235">
        <v>29283484.32</v>
      </c>
      <c r="H27" s="235"/>
    </row>
    <row r="28" spans="1:8" x14ac:dyDescent="0.3">
      <c r="A28" s="230" t="s">
        <v>322</v>
      </c>
      <c r="B28" s="230" t="s">
        <v>323</v>
      </c>
      <c r="C28" s="232">
        <v>6401085.8300000001</v>
      </c>
      <c r="D28" s="232">
        <v>5767375.4400000004</v>
      </c>
      <c r="E28" s="232">
        <v>5292599.45</v>
      </c>
      <c r="F28" s="232">
        <v>5754441.7400000002</v>
      </c>
      <c r="G28" s="233">
        <v>7434773.8300000001</v>
      </c>
      <c r="H28" s="233"/>
    </row>
    <row r="29" spans="1:8" x14ac:dyDescent="0.3">
      <c r="A29" s="230" t="s">
        <v>324</v>
      </c>
      <c r="B29" s="230" t="s">
        <v>325</v>
      </c>
      <c r="C29" s="232">
        <v>66081128.299999997</v>
      </c>
      <c r="D29" s="232">
        <v>57062553.43</v>
      </c>
      <c r="E29" s="232">
        <v>54892983.539999999</v>
      </c>
      <c r="F29" s="232">
        <v>58048633.82</v>
      </c>
      <c r="G29" s="233">
        <v>74877687.870000005</v>
      </c>
      <c r="H29" s="233"/>
    </row>
    <row r="30" spans="1:8" x14ac:dyDescent="0.3">
      <c r="A30" s="230" t="s">
        <v>326</v>
      </c>
      <c r="B30" s="230" t="s">
        <v>327</v>
      </c>
      <c r="C30" s="232">
        <v>13414873.9</v>
      </c>
      <c r="D30" s="232">
        <v>11387955.01</v>
      </c>
      <c r="E30" s="232">
        <v>12230205.51</v>
      </c>
      <c r="F30" s="232">
        <v>12576544.720000001</v>
      </c>
      <c r="G30" s="235">
        <v>16901949.109999999</v>
      </c>
      <c r="H30" s="235"/>
    </row>
    <row r="31" spans="1:8" x14ac:dyDescent="0.3">
      <c r="A31" s="230" t="s">
        <v>328</v>
      </c>
      <c r="B31" s="230" t="s">
        <v>329</v>
      </c>
      <c r="C31" s="232">
        <v>76053027.069999993</v>
      </c>
      <c r="D31" s="232">
        <v>126442921.06</v>
      </c>
      <c r="E31" s="232">
        <v>93136363.629999995</v>
      </c>
      <c r="F31" s="234"/>
      <c r="G31" s="235"/>
      <c r="H31" s="235"/>
    </row>
    <row r="32" spans="1:8" x14ac:dyDescent="0.3">
      <c r="A32" s="230" t="s">
        <v>330</v>
      </c>
      <c r="B32" s="230" t="s">
        <v>331</v>
      </c>
      <c r="C32" s="232">
        <v>18716674.559999999</v>
      </c>
      <c r="D32" s="234"/>
      <c r="E32" s="234"/>
      <c r="F32" s="234"/>
      <c r="G32" s="235"/>
      <c r="H32" s="235"/>
    </row>
    <row r="33" spans="1:8" x14ac:dyDescent="0.3">
      <c r="A33" s="230" t="s">
        <v>332</v>
      </c>
      <c r="B33" s="230" t="s">
        <v>333</v>
      </c>
      <c r="C33" s="232">
        <v>33838200.609999999</v>
      </c>
      <c r="D33" s="232">
        <v>26372895.170000002</v>
      </c>
      <c r="E33" s="232">
        <v>25384688.260000002</v>
      </c>
      <c r="F33" s="232">
        <v>28559829.199999999</v>
      </c>
      <c r="G33" s="235">
        <v>36876214.270000003</v>
      </c>
      <c r="H33" s="235"/>
    </row>
    <row r="34" spans="1:8" x14ac:dyDescent="0.3">
      <c r="A34" s="230" t="s">
        <v>334</v>
      </c>
      <c r="B34" s="230" t="s">
        <v>335</v>
      </c>
      <c r="C34" s="232">
        <v>4726663.5199999996</v>
      </c>
      <c r="D34" s="232">
        <v>4174712.46</v>
      </c>
      <c r="E34" s="232">
        <v>4172913</v>
      </c>
      <c r="F34" s="232">
        <v>4277988.51</v>
      </c>
      <c r="G34" s="233">
        <v>4917885.74</v>
      </c>
      <c r="H34" s="233"/>
    </row>
    <row r="35" spans="1:8" x14ac:dyDescent="0.3">
      <c r="A35" s="230" t="s">
        <v>336</v>
      </c>
      <c r="B35" s="230" t="s">
        <v>337</v>
      </c>
      <c r="C35" s="232">
        <v>299671146.68000001</v>
      </c>
      <c r="D35" s="234"/>
      <c r="E35" s="234"/>
      <c r="F35" s="234"/>
      <c r="G35" s="235"/>
      <c r="H35" s="235"/>
    </row>
    <row r="36" spans="1:8" x14ac:dyDescent="0.3">
      <c r="A36" s="230" t="s">
        <v>338</v>
      </c>
      <c r="B36" s="230" t="s">
        <v>339</v>
      </c>
      <c r="C36" s="232">
        <v>2059344.15</v>
      </c>
      <c r="D36" s="232">
        <v>1688797.41</v>
      </c>
      <c r="E36" s="232">
        <v>621818.44999999995</v>
      </c>
      <c r="F36" s="232">
        <v>1068208.45</v>
      </c>
      <c r="G36" s="233">
        <v>2204989.6800000002</v>
      </c>
      <c r="H36" s="233"/>
    </row>
    <row r="37" spans="1:8" x14ac:dyDescent="0.3">
      <c r="A37" s="230" t="s">
        <v>340</v>
      </c>
      <c r="B37" s="230" t="s">
        <v>341</v>
      </c>
      <c r="C37" s="232">
        <v>8438022.2899999991</v>
      </c>
      <c r="D37" s="232">
        <v>7285143.2599999998</v>
      </c>
      <c r="E37" s="232">
        <v>7290411.3499999996</v>
      </c>
      <c r="F37" s="232">
        <v>6807619.5899999999</v>
      </c>
      <c r="G37" s="235">
        <v>7725953.8700000001</v>
      </c>
      <c r="H37" s="235"/>
    </row>
    <row r="38" spans="1:8" x14ac:dyDescent="0.3">
      <c r="A38" s="230" t="s">
        <v>342</v>
      </c>
      <c r="B38" s="230" t="s">
        <v>343</v>
      </c>
      <c r="C38" s="232">
        <v>227593559.09999999</v>
      </c>
      <c r="D38" s="234"/>
      <c r="E38" s="234"/>
      <c r="F38" s="234"/>
      <c r="G38" s="235"/>
      <c r="H38" s="235"/>
    </row>
    <row r="39" spans="1:8" x14ac:dyDescent="0.3">
      <c r="A39" s="230" t="s">
        <v>344</v>
      </c>
      <c r="B39" s="230" t="s">
        <v>345</v>
      </c>
      <c r="C39" s="232">
        <v>419390861.38999999</v>
      </c>
      <c r="D39" s="232">
        <v>388880263.69999999</v>
      </c>
      <c r="E39" s="232">
        <v>664302318.10000002</v>
      </c>
      <c r="F39" s="232">
        <v>512373616.77999997</v>
      </c>
      <c r="G39" s="233">
        <v>2339278786.5700002</v>
      </c>
      <c r="H39" s="233"/>
    </row>
    <row r="40" spans="1:8" ht="20.399999999999999" x14ac:dyDescent="0.3">
      <c r="A40" s="230" t="s">
        <v>346</v>
      </c>
      <c r="B40" s="230" t="s">
        <v>347</v>
      </c>
      <c r="C40" s="232">
        <v>20422421</v>
      </c>
      <c r="D40" s="232">
        <v>17552161</v>
      </c>
      <c r="E40" s="232">
        <v>17981951</v>
      </c>
      <c r="F40" s="232">
        <v>18185635</v>
      </c>
      <c r="G40" s="233">
        <v>22845407</v>
      </c>
      <c r="H40" s="233"/>
    </row>
    <row r="41" spans="1:8" ht="20.399999999999999" x14ac:dyDescent="0.3">
      <c r="A41" s="230" t="s">
        <v>348</v>
      </c>
      <c r="B41" s="230" t="s">
        <v>349</v>
      </c>
      <c r="C41" s="232">
        <v>52037697.880000003</v>
      </c>
      <c r="D41" s="232">
        <v>46080864.5</v>
      </c>
      <c r="E41" s="232">
        <v>44871359.960000001</v>
      </c>
      <c r="F41" s="232">
        <v>46242861.969999999</v>
      </c>
      <c r="G41" s="233">
        <v>61884632.210000001</v>
      </c>
      <c r="H41" s="233"/>
    </row>
    <row r="42" spans="1:8" x14ac:dyDescent="0.3">
      <c r="A42" s="230" t="s">
        <v>350</v>
      </c>
      <c r="B42" s="230" t="s">
        <v>351</v>
      </c>
      <c r="C42" s="232">
        <v>0</v>
      </c>
      <c r="D42" s="232">
        <v>25079.72</v>
      </c>
      <c r="E42" s="232">
        <v>14212.27</v>
      </c>
      <c r="F42" s="232">
        <v>1462979.54</v>
      </c>
      <c r="G42" s="233">
        <v>1778723.8400000001</v>
      </c>
      <c r="H42" s="233"/>
    </row>
    <row r="43" spans="1:8" x14ac:dyDescent="0.3">
      <c r="A43" s="230" t="s">
        <v>352</v>
      </c>
      <c r="B43" s="230" t="s">
        <v>353</v>
      </c>
      <c r="C43" s="232">
        <v>838370426.61000001</v>
      </c>
      <c r="D43" s="232">
        <v>759072358.29999995</v>
      </c>
      <c r="E43" s="232">
        <v>378957228.50999999</v>
      </c>
      <c r="F43" s="234">
        <v>373128686.88999999</v>
      </c>
      <c r="G43" s="235">
        <v>479451463.51999998</v>
      </c>
      <c r="H43" s="235"/>
    </row>
    <row r="44" spans="1:8" x14ac:dyDescent="0.3">
      <c r="A44" s="230" t="s">
        <v>354</v>
      </c>
      <c r="B44" s="230" t="s">
        <v>355</v>
      </c>
      <c r="C44" s="232">
        <v>21665897.59</v>
      </c>
      <c r="D44" s="232">
        <v>18126688.77</v>
      </c>
      <c r="E44" s="232">
        <v>17889560.809999999</v>
      </c>
      <c r="F44" s="232">
        <v>19090131.379999999</v>
      </c>
      <c r="G44" s="235">
        <v>29318209.649999999</v>
      </c>
      <c r="H44" s="235"/>
    </row>
    <row r="45" spans="1:8" x14ac:dyDescent="0.3">
      <c r="A45" s="230" t="s">
        <v>356</v>
      </c>
      <c r="B45" s="230" t="s">
        <v>357</v>
      </c>
      <c r="C45" s="232">
        <v>7148906</v>
      </c>
      <c r="D45" s="232">
        <v>6295825</v>
      </c>
      <c r="E45" s="232">
        <v>6090944</v>
      </c>
      <c r="F45" s="232"/>
      <c r="G45" s="233"/>
      <c r="H45" s="233"/>
    </row>
    <row r="46" spans="1:8" x14ac:dyDescent="0.3">
      <c r="A46" s="230" t="s">
        <v>358</v>
      </c>
      <c r="B46" s="230" t="s">
        <v>359</v>
      </c>
      <c r="C46" s="232">
        <v>38496606</v>
      </c>
      <c r="D46" s="232">
        <v>32853710</v>
      </c>
      <c r="E46" s="232">
        <v>34240773</v>
      </c>
      <c r="F46" s="232">
        <v>34201059.57</v>
      </c>
      <c r="G46" s="233">
        <v>41587045.840000004</v>
      </c>
      <c r="H46" s="233"/>
    </row>
    <row r="47" spans="1:8" x14ac:dyDescent="0.3">
      <c r="A47" s="230" t="s">
        <v>360</v>
      </c>
      <c r="B47" s="230" t="s">
        <v>361</v>
      </c>
      <c r="C47" s="232">
        <v>126484685.81999999</v>
      </c>
      <c r="D47" s="232">
        <v>106137759.09</v>
      </c>
      <c r="E47" s="232">
        <v>106160556.36</v>
      </c>
      <c r="F47" s="232">
        <v>105280940.18000001</v>
      </c>
      <c r="G47" s="233">
        <v>144381328.34999999</v>
      </c>
      <c r="H47" s="233"/>
    </row>
    <row r="48" spans="1:8" x14ac:dyDescent="0.3">
      <c r="A48" s="230" t="s">
        <v>362</v>
      </c>
      <c r="B48" s="230" t="s">
        <v>363</v>
      </c>
      <c r="C48" s="232">
        <v>15075054.189999999</v>
      </c>
      <c r="D48" s="232">
        <v>12802250.359999999</v>
      </c>
      <c r="E48" s="232">
        <v>11215248.220000001</v>
      </c>
      <c r="F48" s="232">
        <v>12678046.93</v>
      </c>
      <c r="G48" s="233">
        <v>16205224.24</v>
      </c>
      <c r="H48" s="233"/>
    </row>
    <row r="49" spans="1:10" x14ac:dyDescent="0.3">
      <c r="A49" s="230" t="s">
        <v>364</v>
      </c>
      <c r="B49" s="230" t="s">
        <v>365</v>
      </c>
      <c r="C49" s="232">
        <v>20686647.370000001</v>
      </c>
      <c r="D49" s="232">
        <v>17922134.469999999</v>
      </c>
      <c r="E49" s="234">
        <v>17748995.34</v>
      </c>
      <c r="F49" s="234">
        <v>18598237.460000001</v>
      </c>
      <c r="G49" s="235">
        <v>23447665.559999999</v>
      </c>
      <c r="H49" s="235"/>
    </row>
    <row r="50" spans="1:10" x14ac:dyDescent="0.3">
      <c r="A50" s="230" t="s">
        <v>366</v>
      </c>
      <c r="B50" s="230" t="s">
        <v>367</v>
      </c>
      <c r="C50" s="232">
        <v>200593745.18000001</v>
      </c>
      <c r="D50" s="232">
        <v>169355007.91999999</v>
      </c>
      <c r="E50" s="232">
        <v>175704100.40000001</v>
      </c>
      <c r="F50" s="232">
        <v>174762988.68000001</v>
      </c>
      <c r="G50" s="233">
        <v>231765489.18000001</v>
      </c>
      <c r="H50" s="233"/>
    </row>
    <row r="51" spans="1:10" x14ac:dyDescent="0.3">
      <c r="A51" s="230" t="s">
        <v>368</v>
      </c>
      <c r="B51" s="230" t="s">
        <v>369</v>
      </c>
      <c r="C51" s="232">
        <v>3199110.73</v>
      </c>
      <c r="D51" s="232">
        <v>1612702.45</v>
      </c>
      <c r="E51" s="232"/>
      <c r="F51" s="232"/>
      <c r="G51" s="233"/>
      <c r="H51" s="233"/>
    </row>
    <row r="52" spans="1:10" x14ac:dyDescent="0.3">
      <c r="A52" s="230" t="s">
        <v>370</v>
      </c>
      <c r="B52" s="230" t="s">
        <v>371</v>
      </c>
      <c r="C52" s="232">
        <v>54357360</v>
      </c>
      <c r="D52" s="232">
        <v>45651670</v>
      </c>
      <c r="E52" s="232">
        <v>48076620</v>
      </c>
      <c r="F52" s="232">
        <v>47312834</v>
      </c>
      <c r="G52" s="233">
        <v>63900115</v>
      </c>
      <c r="H52" s="270">
        <v>61853098.859999999</v>
      </c>
      <c r="J52" s="269"/>
    </row>
    <row r="53" spans="1:10" x14ac:dyDescent="0.3">
      <c r="A53" s="230" t="s">
        <v>372</v>
      </c>
      <c r="B53" s="230" t="s">
        <v>373</v>
      </c>
      <c r="C53" s="232">
        <v>71519935.980000004</v>
      </c>
      <c r="D53" s="232">
        <v>40184380.899999999</v>
      </c>
      <c r="E53" s="232">
        <v>64958062.039999999</v>
      </c>
      <c r="F53" s="232">
        <v>76962052.510000005</v>
      </c>
      <c r="G53" s="233">
        <v>54343328.530000001</v>
      </c>
      <c r="H53" s="233"/>
    </row>
    <row r="54" spans="1:10" x14ac:dyDescent="0.3">
      <c r="A54" s="230" t="s">
        <v>374</v>
      </c>
      <c r="B54" s="230" t="s">
        <v>375</v>
      </c>
      <c r="C54" s="232">
        <v>77646677.819999993</v>
      </c>
      <c r="D54" s="232">
        <v>65298861.719999999</v>
      </c>
      <c r="E54" s="232">
        <v>65058587.340000004</v>
      </c>
      <c r="F54" s="232">
        <v>61169795.479999997</v>
      </c>
      <c r="G54" s="235">
        <v>79138273.469999999</v>
      </c>
      <c r="H54" s="235"/>
    </row>
    <row r="55" spans="1:10" x14ac:dyDescent="0.3">
      <c r="A55" s="230" t="s">
        <v>376</v>
      </c>
      <c r="B55" s="230" t="s">
        <v>377</v>
      </c>
      <c r="C55" s="232">
        <v>14573944.52</v>
      </c>
      <c r="D55" s="232">
        <v>12445325.01</v>
      </c>
      <c r="E55" s="232">
        <v>12837074.210000001</v>
      </c>
      <c r="F55" s="232">
        <v>13078378.51</v>
      </c>
      <c r="G55" s="235">
        <v>16824688.170000002</v>
      </c>
      <c r="H55" s="235"/>
    </row>
    <row r="56" spans="1:10" x14ac:dyDescent="0.3">
      <c r="A56" s="230" t="s">
        <v>378</v>
      </c>
      <c r="B56" s="230" t="s">
        <v>379</v>
      </c>
      <c r="C56" s="232">
        <v>33400155.719999999</v>
      </c>
      <c r="D56" s="232">
        <v>29218002.260000002</v>
      </c>
      <c r="E56" s="232">
        <v>29058366.870000001</v>
      </c>
      <c r="F56" s="232">
        <v>29045952.149999999</v>
      </c>
      <c r="G56" s="233">
        <v>37007826.509999998</v>
      </c>
      <c r="H56" s="233"/>
    </row>
    <row r="57" spans="1:10" x14ac:dyDescent="0.3">
      <c r="A57" s="230" t="s">
        <v>380</v>
      </c>
      <c r="B57" s="230" t="s">
        <v>381</v>
      </c>
      <c r="C57" s="232">
        <v>7360566.8600000003</v>
      </c>
      <c r="D57" s="232">
        <v>6214844.5899999999</v>
      </c>
      <c r="E57" s="232">
        <v>6288047.5700000003</v>
      </c>
      <c r="F57" s="232">
        <v>6516422.5700000003</v>
      </c>
      <c r="G57" s="233">
        <v>7952951.8499999996</v>
      </c>
      <c r="H57" s="233"/>
    </row>
    <row r="58" spans="1:10" x14ac:dyDescent="0.3">
      <c r="A58" s="230" t="s">
        <v>382</v>
      </c>
      <c r="B58" s="230" t="s">
        <v>383</v>
      </c>
      <c r="C58" s="232">
        <v>84085621.049999997</v>
      </c>
      <c r="D58" s="232">
        <v>71230904.579999998</v>
      </c>
      <c r="E58" s="232">
        <v>82140257.010000005</v>
      </c>
      <c r="F58" s="232">
        <v>69711904.370000005</v>
      </c>
      <c r="G58" s="233">
        <v>112368335.40000001</v>
      </c>
      <c r="H58" s="233"/>
    </row>
    <row r="59" spans="1:10" x14ac:dyDescent="0.3">
      <c r="A59" s="230" t="s">
        <v>384</v>
      </c>
      <c r="B59" s="230" t="s">
        <v>385</v>
      </c>
      <c r="C59" s="232">
        <v>16152106.76</v>
      </c>
      <c r="D59" s="232">
        <v>14138779.640000001</v>
      </c>
      <c r="E59" s="232">
        <v>14336792</v>
      </c>
      <c r="F59" s="232">
        <v>14165804.210000001</v>
      </c>
      <c r="G59" s="233">
        <v>18230291.34</v>
      </c>
      <c r="H59" s="233"/>
    </row>
    <row r="60" spans="1:10" x14ac:dyDescent="0.3">
      <c r="A60" s="230" t="s">
        <v>386</v>
      </c>
      <c r="B60" s="230" t="s">
        <v>387</v>
      </c>
      <c r="C60" s="232">
        <v>78125081.680000007</v>
      </c>
      <c r="D60" s="232">
        <v>63307617.149999999</v>
      </c>
      <c r="E60" s="232">
        <v>64828533</v>
      </c>
      <c r="F60" s="232">
        <v>59002842.560000002</v>
      </c>
      <c r="G60" s="233">
        <v>85219781.430000007</v>
      </c>
      <c r="H60" s="233"/>
    </row>
    <row r="61" spans="1:10" x14ac:dyDescent="0.3">
      <c r="A61" s="230" t="s">
        <v>388</v>
      </c>
      <c r="B61" s="230" t="s">
        <v>389</v>
      </c>
      <c r="C61" s="232">
        <v>14538530.23</v>
      </c>
      <c r="D61" s="232">
        <v>12917295.689999999</v>
      </c>
      <c r="E61" s="232">
        <v>12334020.279999999</v>
      </c>
      <c r="F61" s="232">
        <v>11163089.779999999</v>
      </c>
      <c r="G61" s="235">
        <v>15961225.439999999</v>
      </c>
      <c r="H61" s="235"/>
    </row>
    <row r="62" spans="1:10" x14ac:dyDescent="0.3">
      <c r="A62" s="230" t="s">
        <v>390</v>
      </c>
      <c r="B62" s="230" t="s">
        <v>391</v>
      </c>
      <c r="C62" s="232">
        <v>49506356.880000003</v>
      </c>
      <c r="D62" s="234">
        <v>68428557.719999999</v>
      </c>
      <c r="E62" s="234">
        <v>61672850.939999998</v>
      </c>
      <c r="F62" s="234">
        <v>69598321.280000001</v>
      </c>
      <c r="G62" s="235">
        <v>79247240.469999999</v>
      </c>
      <c r="H62" s="235"/>
    </row>
    <row r="63" spans="1:10" x14ac:dyDescent="0.3">
      <c r="A63" s="230" t="s">
        <v>392</v>
      </c>
      <c r="B63" s="230" t="s">
        <v>393</v>
      </c>
      <c r="C63" s="232">
        <v>529127584.02999997</v>
      </c>
      <c r="D63" s="232"/>
      <c r="E63" s="232"/>
      <c r="F63" s="232"/>
      <c r="G63" s="233"/>
      <c r="H63" s="233"/>
    </row>
    <row r="64" spans="1:10" x14ac:dyDescent="0.3">
      <c r="A64" s="230" t="s">
        <v>394</v>
      </c>
      <c r="B64" s="230" t="s">
        <v>395</v>
      </c>
      <c r="C64" s="232">
        <v>5714031.3200000003</v>
      </c>
      <c r="D64" s="232">
        <v>4874471.74</v>
      </c>
      <c r="E64" s="232">
        <v>4916429.3499999996</v>
      </c>
      <c r="F64" s="232">
        <v>5050519.8600000003</v>
      </c>
      <c r="G64" s="235">
        <v>6482912.75</v>
      </c>
      <c r="H64" s="235"/>
    </row>
    <row r="65" spans="1:8" x14ac:dyDescent="0.3">
      <c r="A65" s="230" t="s">
        <v>396</v>
      </c>
      <c r="B65" s="230" t="s">
        <v>397</v>
      </c>
      <c r="C65" s="232">
        <v>7757164.5599999996</v>
      </c>
      <c r="D65" s="232">
        <v>6697181.1900000004</v>
      </c>
      <c r="E65" s="232">
        <v>6582824.8799999999</v>
      </c>
      <c r="F65" s="232">
        <v>6823526.6100000003</v>
      </c>
      <c r="G65" s="235">
        <v>8891577.7699999996</v>
      </c>
      <c r="H65" s="235"/>
    </row>
    <row r="66" spans="1:8" x14ac:dyDescent="0.3">
      <c r="A66" s="230" t="s">
        <v>398</v>
      </c>
      <c r="B66" s="230" t="s">
        <v>399</v>
      </c>
      <c r="C66" s="232">
        <v>5925063.8300000001</v>
      </c>
      <c r="D66" s="232">
        <v>5223541.4400000004</v>
      </c>
      <c r="E66" s="234">
        <v>4565190.7300000004</v>
      </c>
      <c r="F66" s="234">
        <v>5160942.6900000004</v>
      </c>
      <c r="G66" s="235">
        <v>6666605.0300000003</v>
      </c>
      <c r="H66" s="235"/>
    </row>
    <row r="67" spans="1:8" x14ac:dyDescent="0.3">
      <c r="A67" s="230" t="s">
        <v>400</v>
      </c>
      <c r="B67" s="230" t="s">
        <v>401</v>
      </c>
      <c r="C67" s="234">
        <v>31863080.940000001</v>
      </c>
      <c r="D67" s="234">
        <v>28175317.09</v>
      </c>
      <c r="E67" s="234"/>
      <c r="F67" s="232"/>
      <c r="G67" s="233"/>
      <c r="H67" s="233"/>
    </row>
    <row r="68" spans="1:8" x14ac:dyDescent="0.3">
      <c r="A68" s="230" t="s">
        <v>402</v>
      </c>
      <c r="B68" s="230" t="s">
        <v>403</v>
      </c>
      <c r="C68" s="232"/>
      <c r="D68" s="232"/>
      <c r="E68" s="232"/>
      <c r="F68" s="234">
        <v>59045091.630000003</v>
      </c>
      <c r="G68" s="235">
        <v>73228636.870000005</v>
      </c>
      <c r="H68" s="235"/>
    </row>
    <row r="69" spans="1:8" x14ac:dyDescent="0.3">
      <c r="A69" s="230" t="s">
        <v>404</v>
      </c>
      <c r="B69" s="230" t="s">
        <v>405</v>
      </c>
      <c r="C69" s="232">
        <v>59538661.189999998</v>
      </c>
      <c r="D69" s="232">
        <v>52844523.130000003</v>
      </c>
      <c r="E69" s="232">
        <v>50944829.520000003</v>
      </c>
      <c r="F69" s="232"/>
      <c r="G69" s="235"/>
      <c r="H69" s="235"/>
    </row>
    <row r="70" spans="1:8" x14ac:dyDescent="0.3">
      <c r="A70" s="230" t="s">
        <v>406</v>
      </c>
      <c r="B70" s="230" t="s">
        <v>407</v>
      </c>
      <c r="C70" s="232">
        <v>9170286.4800000004</v>
      </c>
      <c r="D70" s="232">
        <v>8932078.9399999995</v>
      </c>
      <c r="E70" s="232">
        <v>9412935.5700000003</v>
      </c>
      <c r="F70" s="232">
        <v>8673930.75</v>
      </c>
      <c r="G70" s="233">
        <v>11469020.140000001</v>
      </c>
      <c r="H70" s="233"/>
    </row>
    <row r="71" spans="1:8" x14ac:dyDescent="0.3">
      <c r="A71" s="230" t="s">
        <v>408</v>
      </c>
      <c r="B71" s="230" t="s">
        <v>409</v>
      </c>
      <c r="C71" s="232">
        <v>1391825709.0799999</v>
      </c>
      <c r="D71" s="232">
        <v>1172692119.4300001</v>
      </c>
      <c r="E71" s="232">
        <v>1225222494.6600001</v>
      </c>
      <c r="F71" s="234">
        <v>1189125381.54</v>
      </c>
      <c r="G71" s="235">
        <v>1503809264</v>
      </c>
      <c r="H71" s="235"/>
    </row>
    <row r="72" spans="1:8" x14ac:dyDescent="0.3">
      <c r="A72" s="230" t="s">
        <v>410</v>
      </c>
      <c r="B72" s="230" t="s">
        <v>411</v>
      </c>
      <c r="C72" s="232">
        <v>162942613</v>
      </c>
      <c r="D72" s="232">
        <v>134681655</v>
      </c>
      <c r="E72" s="232">
        <v>141704997</v>
      </c>
      <c r="F72" s="232"/>
      <c r="G72" s="233"/>
      <c r="H72" s="233"/>
    </row>
    <row r="73" spans="1:8" x14ac:dyDescent="0.3">
      <c r="A73" s="230" t="s">
        <v>412</v>
      </c>
      <c r="B73" s="230" t="s">
        <v>413</v>
      </c>
      <c r="C73" s="232">
        <v>12626871.18</v>
      </c>
      <c r="D73" s="232">
        <v>10729581.99</v>
      </c>
      <c r="E73" s="232">
        <v>10210077.720000001</v>
      </c>
      <c r="F73" s="232">
        <v>11221742.51</v>
      </c>
      <c r="G73" s="233">
        <v>16113117.07</v>
      </c>
      <c r="H73" s="233"/>
    </row>
    <row r="74" spans="1:8" x14ac:dyDescent="0.3">
      <c r="A74" s="230" t="s">
        <v>414</v>
      </c>
      <c r="B74" s="230" t="s">
        <v>415</v>
      </c>
      <c r="C74" s="232">
        <v>85834548</v>
      </c>
      <c r="D74" s="232">
        <v>72628032</v>
      </c>
      <c r="E74" s="232">
        <v>76715892</v>
      </c>
      <c r="F74" s="232">
        <v>73606674</v>
      </c>
      <c r="G74" s="233">
        <v>96399343</v>
      </c>
      <c r="H74" s="233"/>
    </row>
    <row r="75" spans="1:8" x14ac:dyDescent="0.3">
      <c r="A75" s="230" t="s">
        <v>416</v>
      </c>
      <c r="B75" s="230" t="s">
        <v>417</v>
      </c>
      <c r="C75" s="232">
        <v>27900178.219999999</v>
      </c>
      <c r="D75" s="232">
        <v>22156613.199999999</v>
      </c>
      <c r="E75" s="232">
        <v>23449528.82</v>
      </c>
      <c r="F75" s="232">
        <v>23188616.43</v>
      </c>
      <c r="G75" s="233">
        <v>30564009.969999999</v>
      </c>
      <c r="H75" s="233"/>
    </row>
    <row r="76" spans="1:8" x14ac:dyDescent="0.3">
      <c r="A76" s="230" t="s">
        <v>418</v>
      </c>
      <c r="B76" s="230" t="s">
        <v>419</v>
      </c>
      <c r="C76" s="232">
        <v>4206311.46</v>
      </c>
      <c r="D76" s="232">
        <v>3694395.83</v>
      </c>
      <c r="E76" s="232">
        <v>4038573.45</v>
      </c>
      <c r="F76" s="234">
        <v>3814397.74</v>
      </c>
      <c r="G76" s="235">
        <v>5060328.3600000003</v>
      </c>
      <c r="H76" s="235"/>
    </row>
    <row r="77" spans="1:8" x14ac:dyDescent="0.3">
      <c r="A77" s="230" t="s">
        <v>420</v>
      </c>
      <c r="B77" s="230" t="s">
        <v>421</v>
      </c>
      <c r="C77" s="232">
        <v>5163407</v>
      </c>
      <c r="D77" s="232">
        <v>4405864</v>
      </c>
      <c r="E77" s="232">
        <v>4497254</v>
      </c>
      <c r="F77" s="232"/>
      <c r="G77" s="233"/>
      <c r="H77" s="233"/>
    </row>
    <row r="78" spans="1:8" x14ac:dyDescent="0.3">
      <c r="A78" s="230" t="s">
        <v>422</v>
      </c>
      <c r="B78" s="230" t="s">
        <v>423</v>
      </c>
      <c r="C78" s="232">
        <v>30730142</v>
      </c>
      <c r="D78" s="232">
        <v>23401325</v>
      </c>
      <c r="E78" s="232">
        <v>22977534.239999998</v>
      </c>
      <c r="F78" s="234">
        <v>24451221.91</v>
      </c>
      <c r="G78" s="235">
        <v>34071696.280000001</v>
      </c>
      <c r="H78" s="235"/>
    </row>
    <row r="79" spans="1:8" x14ac:dyDescent="0.3">
      <c r="A79" s="170" t="s">
        <v>424</v>
      </c>
      <c r="B79" s="170" t="s">
        <v>425</v>
      </c>
      <c r="C79" s="170">
        <v>61770101.609999999</v>
      </c>
      <c r="D79" s="170">
        <v>50031791.950000003</v>
      </c>
      <c r="E79" s="170">
        <v>50907415.159999996</v>
      </c>
    </row>
  </sheetData>
  <sheetProtection algorithmName="SHA-512" hashValue="oD0JYDRct2FAuxsbe3bkwtU4/pk6TNUEaSrIkTs2CCkDBhRRpuHafVr5o1vDcLF7csZgtxDuPr8Ktw9F+/vMfA==" saltValue="mLVgxgHJYMatm/RXT96nnA=="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A1:V69"/>
  <sheetViews>
    <sheetView showGridLines="0" zoomScaleNormal="100" workbookViewId="0">
      <selection sqref="A1:H1"/>
    </sheetView>
  </sheetViews>
  <sheetFormatPr defaultRowHeight="14.4" x14ac:dyDescent="0.3"/>
  <cols>
    <col min="1" max="1" width="9" customWidth="1"/>
    <col min="2" max="5" width="18.88671875" customWidth="1"/>
    <col min="6" max="6" width="26.33203125" customWidth="1"/>
    <col min="7" max="7" width="25.33203125" customWidth="1"/>
    <col min="8" max="8" width="17.88671875" customWidth="1"/>
    <col min="9" max="9" width="17" customWidth="1"/>
    <col min="10" max="10" width="20.5546875" customWidth="1"/>
    <col min="11" max="11" width="19.88671875" customWidth="1"/>
    <col min="12" max="12" width="15" customWidth="1"/>
    <col min="13" max="13" width="14.33203125" customWidth="1"/>
    <col min="14" max="14" width="21.33203125" customWidth="1"/>
    <col min="15" max="15" width="20.5546875" customWidth="1"/>
    <col min="16" max="16" width="22" customWidth="1"/>
    <col min="17" max="17" width="21.33203125" customWidth="1"/>
    <col min="18" max="18" width="18.5546875" customWidth="1"/>
    <col min="19" max="19" width="17.5546875" customWidth="1"/>
    <col min="20" max="21" width="14.5546875" bestFit="1" customWidth="1"/>
    <col min="22" max="22" width="13.5546875" bestFit="1" customWidth="1"/>
  </cols>
  <sheetData>
    <row r="1" spans="1:22" x14ac:dyDescent="0.3">
      <c r="A1" s="383" t="s">
        <v>426</v>
      </c>
      <c r="B1" s="383"/>
      <c r="C1" s="383"/>
      <c r="D1" s="383"/>
      <c r="E1" s="383"/>
      <c r="F1" s="383"/>
      <c r="G1" s="383"/>
      <c r="H1" s="383"/>
    </row>
    <row r="2" spans="1:22" x14ac:dyDescent="0.3">
      <c r="A2" s="384" t="s">
        <v>427</v>
      </c>
      <c r="B2" s="384"/>
      <c r="C2" s="384"/>
      <c r="D2" s="384"/>
      <c r="E2" s="384"/>
      <c r="F2" s="384"/>
      <c r="G2" s="384"/>
      <c r="H2" s="384"/>
    </row>
    <row r="3" spans="1:22" x14ac:dyDescent="0.3">
      <c r="A3" s="107"/>
      <c r="T3" t="s">
        <v>428</v>
      </c>
      <c r="U3" t="s">
        <v>429</v>
      </c>
    </row>
    <row r="4" spans="1:22" ht="20.399999999999999" x14ac:dyDescent="0.3">
      <c r="A4" s="271" t="s">
        <v>430</v>
      </c>
      <c r="B4" s="271" t="s">
        <v>431</v>
      </c>
      <c r="C4" s="271"/>
      <c r="D4" s="271"/>
      <c r="E4" s="271"/>
      <c r="F4" s="271" t="s">
        <v>432</v>
      </c>
      <c r="G4" s="271" t="s">
        <v>433</v>
      </c>
      <c r="H4" s="271" t="s">
        <v>434</v>
      </c>
      <c r="I4" s="271" t="s">
        <v>435</v>
      </c>
      <c r="J4" s="271" t="s">
        <v>436</v>
      </c>
      <c r="K4" s="271" t="s">
        <v>437</v>
      </c>
      <c r="L4" s="271" t="s">
        <v>438</v>
      </c>
      <c r="M4" s="271" t="s">
        <v>439</v>
      </c>
      <c r="N4" s="271" t="s">
        <v>440</v>
      </c>
      <c r="O4" s="271" t="s">
        <v>441</v>
      </c>
      <c r="P4" s="271" t="s">
        <v>442</v>
      </c>
      <c r="Q4" s="271" t="s">
        <v>443</v>
      </c>
      <c r="R4" s="271" t="s">
        <v>444</v>
      </c>
      <c r="S4" s="169" t="s">
        <v>445</v>
      </c>
      <c r="T4" s="109" t="s">
        <v>446</v>
      </c>
      <c r="U4" s="109" t="s">
        <v>81</v>
      </c>
    </row>
    <row r="5" spans="1:22" ht="20.399999999999999" x14ac:dyDescent="0.3">
      <c r="A5" s="139" t="s">
        <v>447</v>
      </c>
      <c r="B5" s="139" t="s">
        <v>6</v>
      </c>
      <c r="C5" s="139"/>
      <c r="D5" s="139"/>
      <c r="E5" s="139"/>
      <c r="F5" s="272">
        <v>2735166167</v>
      </c>
      <c r="G5" s="272">
        <v>5493928</v>
      </c>
      <c r="H5" s="272">
        <v>8730758764</v>
      </c>
      <c r="I5" s="272">
        <v>3183669</v>
      </c>
      <c r="J5" s="272">
        <v>9692001985</v>
      </c>
      <c r="K5" s="272">
        <v>23895726</v>
      </c>
      <c r="L5" s="272">
        <v>811776337</v>
      </c>
      <c r="M5" s="272">
        <v>1381122</v>
      </c>
      <c r="N5" s="273">
        <v>3450770317</v>
      </c>
      <c r="O5" s="273">
        <v>6672805</v>
      </c>
      <c r="P5" s="272">
        <v>19234537086</v>
      </c>
      <c r="Q5" s="272">
        <v>28460517</v>
      </c>
      <c r="R5" s="274">
        <v>21969703253</v>
      </c>
      <c r="S5" s="275">
        <v>33954445</v>
      </c>
      <c r="T5" s="108">
        <v>21157926916</v>
      </c>
      <c r="U5" s="108">
        <v>12427168152</v>
      </c>
      <c r="V5" s="108"/>
    </row>
    <row r="6" spans="1:22" x14ac:dyDescent="0.3">
      <c r="A6" s="139" t="s">
        <v>447</v>
      </c>
      <c r="B6" s="140" t="s">
        <v>7</v>
      </c>
      <c r="C6" s="140"/>
      <c r="D6" s="140"/>
      <c r="E6" s="140"/>
      <c r="F6" s="272">
        <v>197114360.37</v>
      </c>
      <c r="G6" s="272">
        <v>375574</v>
      </c>
      <c r="H6" s="272">
        <v>477444082.88</v>
      </c>
      <c r="I6" s="272">
        <v>94778.64</v>
      </c>
      <c r="J6" s="272">
        <v>921412854.80999994</v>
      </c>
      <c r="K6" s="272">
        <v>2146272.7000000002</v>
      </c>
      <c r="L6" s="272">
        <v>6196613.7000000002</v>
      </c>
      <c r="M6" s="272">
        <v>13103.85</v>
      </c>
      <c r="N6" s="273">
        <v>562293627.92999995</v>
      </c>
      <c r="O6" s="273">
        <v>1084589.18</v>
      </c>
      <c r="P6" s="272">
        <v>1405053551.3900001</v>
      </c>
      <c r="Q6" s="272">
        <v>2254155.19</v>
      </c>
      <c r="R6" s="274">
        <v>1602167911.76</v>
      </c>
      <c r="S6" s="275">
        <v>2629729.92</v>
      </c>
      <c r="T6" s="108">
        <v>1595971298.0599999</v>
      </c>
      <c r="U6" s="108">
        <v>1118527215.1799998</v>
      </c>
    </row>
    <row r="7" spans="1:22" x14ac:dyDescent="0.3">
      <c r="A7" s="139" t="s">
        <v>447</v>
      </c>
      <c r="B7" s="139" t="s">
        <v>8</v>
      </c>
      <c r="C7" s="139"/>
      <c r="D7" s="139"/>
      <c r="E7" s="139"/>
      <c r="F7" s="272">
        <v>7589178.4400000004</v>
      </c>
      <c r="G7" s="272">
        <v>8592</v>
      </c>
      <c r="H7" s="272">
        <v>107041096.09</v>
      </c>
      <c r="I7" s="272">
        <v>9869.01</v>
      </c>
      <c r="J7" s="272">
        <v>88433502.849999994</v>
      </c>
      <c r="K7" s="272">
        <v>192374.8</v>
      </c>
      <c r="L7" s="272">
        <v>0</v>
      </c>
      <c r="M7" s="272">
        <v>0</v>
      </c>
      <c r="N7" s="273">
        <v>58917721.789999999</v>
      </c>
      <c r="O7" s="273">
        <v>99618.3</v>
      </c>
      <c r="P7" s="272">
        <v>195474598.94</v>
      </c>
      <c r="Q7" s="272">
        <v>202243.81</v>
      </c>
      <c r="R7" s="274">
        <v>203063777.38</v>
      </c>
      <c r="S7" s="275">
        <v>210836.14</v>
      </c>
      <c r="T7" s="108">
        <v>203063777.38</v>
      </c>
      <c r="U7" s="108">
        <v>96022681.289999992</v>
      </c>
    </row>
    <row r="8" spans="1:22" x14ac:dyDescent="0.3">
      <c r="A8" s="139" t="s">
        <v>447</v>
      </c>
      <c r="B8" s="139" t="s">
        <v>9</v>
      </c>
      <c r="C8" s="139"/>
      <c r="D8" s="139"/>
      <c r="E8" s="139"/>
      <c r="F8" s="272">
        <v>1232089.98</v>
      </c>
      <c r="G8" s="272">
        <v>2603</v>
      </c>
      <c r="H8" s="272">
        <v>13371836.82</v>
      </c>
      <c r="I8" s="272">
        <v>0</v>
      </c>
      <c r="J8" s="272">
        <v>15005971.630000001</v>
      </c>
      <c r="K8" s="272">
        <v>42253.94</v>
      </c>
      <c r="L8" s="272">
        <v>0</v>
      </c>
      <c r="M8" s="272">
        <v>0</v>
      </c>
      <c r="N8" s="273">
        <v>4563646.5599999996</v>
      </c>
      <c r="O8" s="273">
        <v>18088.38</v>
      </c>
      <c r="P8" s="272">
        <v>28377808.449999999</v>
      </c>
      <c r="Q8" s="272">
        <v>42253.94</v>
      </c>
      <c r="R8" s="274">
        <v>29609898.43</v>
      </c>
      <c r="S8" s="275">
        <v>44857.54</v>
      </c>
      <c r="T8" s="108">
        <v>29609898.43</v>
      </c>
      <c r="U8" s="108">
        <v>16238061.610000001</v>
      </c>
    </row>
    <row r="9" spans="1:22" ht="20.399999999999999" x14ac:dyDescent="0.3">
      <c r="A9" s="139" t="s">
        <v>447</v>
      </c>
      <c r="B9" s="139" t="s">
        <v>10</v>
      </c>
      <c r="C9" s="139"/>
      <c r="D9" s="139"/>
      <c r="E9" s="139"/>
      <c r="F9" s="272">
        <v>60613020</v>
      </c>
      <c r="G9" s="272">
        <v>100189</v>
      </c>
      <c r="H9" s="272">
        <v>360840844</v>
      </c>
      <c r="I9" s="272">
        <v>96062</v>
      </c>
      <c r="J9" s="272">
        <v>439293405</v>
      </c>
      <c r="K9" s="272">
        <v>938025</v>
      </c>
      <c r="L9" s="272">
        <v>116775525</v>
      </c>
      <c r="M9" s="272">
        <v>190405</v>
      </c>
      <c r="N9" s="273">
        <v>280305798</v>
      </c>
      <c r="O9" s="273">
        <v>480944</v>
      </c>
      <c r="P9" s="272">
        <v>916909774</v>
      </c>
      <c r="Q9" s="272">
        <v>1224492</v>
      </c>
      <c r="R9" s="274">
        <v>977522794</v>
      </c>
      <c r="S9" s="275">
        <v>1324681</v>
      </c>
      <c r="T9" s="108">
        <v>860747269</v>
      </c>
      <c r="U9" s="108">
        <v>499906425</v>
      </c>
    </row>
    <row r="10" spans="1:22" x14ac:dyDescent="0.3">
      <c r="A10" s="139" t="s">
        <v>447</v>
      </c>
      <c r="B10" s="139" t="s">
        <v>11</v>
      </c>
      <c r="C10" s="139"/>
      <c r="D10" s="139"/>
      <c r="E10" s="139"/>
      <c r="F10" s="272">
        <v>158219509.30000001</v>
      </c>
      <c r="G10" s="272">
        <v>332352</v>
      </c>
      <c r="H10" s="272">
        <v>383768359.55000001</v>
      </c>
      <c r="I10" s="272">
        <v>112785.16</v>
      </c>
      <c r="J10" s="272">
        <v>350272883.18000001</v>
      </c>
      <c r="K10" s="272">
        <v>978161.98</v>
      </c>
      <c r="L10" s="272">
        <v>49798281</v>
      </c>
      <c r="M10" s="272">
        <v>119621.52</v>
      </c>
      <c r="N10" s="273">
        <v>116262049</v>
      </c>
      <c r="O10" s="273">
        <v>226480.18</v>
      </c>
      <c r="P10" s="272">
        <v>783839523.73000002</v>
      </c>
      <c r="Q10" s="272">
        <v>1210568.6599999999</v>
      </c>
      <c r="R10" s="274">
        <v>942059033.02999997</v>
      </c>
      <c r="S10" s="275">
        <v>1542920.96</v>
      </c>
      <c r="T10" s="108">
        <v>892260752.02999997</v>
      </c>
      <c r="U10" s="108">
        <v>508492392.48000002</v>
      </c>
    </row>
    <row r="11" spans="1:22" x14ac:dyDescent="0.3">
      <c r="A11" s="139" t="s">
        <v>447</v>
      </c>
      <c r="B11" s="139" t="s">
        <v>12</v>
      </c>
      <c r="C11" s="139"/>
      <c r="D11" s="139"/>
      <c r="E11" s="139"/>
      <c r="F11" s="272">
        <v>176577660</v>
      </c>
      <c r="G11" s="272">
        <v>405566</v>
      </c>
      <c r="H11" s="272">
        <v>762645853</v>
      </c>
      <c r="I11" s="272">
        <v>366461</v>
      </c>
      <c r="J11" s="272">
        <v>617809779</v>
      </c>
      <c r="K11" s="272">
        <v>1631018</v>
      </c>
      <c r="L11" s="272">
        <v>0</v>
      </c>
      <c r="M11" s="272">
        <v>0</v>
      </c>
      <c r="N11" s="273">
        <v>126515929</v>
      </c>
      <c r="O11" s="273">
        <v>310497</v>
      </c>
      <c r="P11" s="272">
        <v>1380455632</v>
      </c>
      <c r="Q11" s="272">
        <v>1997479</v>
      </c>
      <c r="R11" s="274">
        <v>1557033292</v>
      </c>
      <c r="S11" s="275">
        <v>2403045</v>
      </c>
      <c r="T11" s="108">
        <v>1557033292</v>
      </c>
      <c r="U11" s="108">
        <v>794387439</v>
      </c>
    </row>
    <row r="12" spans="1:22" ht="20.399999999999999" x14ac:dyDescent="0.3">
      <c r="A12" s="139" t="s">
        <v>447</v>
      </c>
      <c r="B12" s="139" t="s">
        <v>13</v>
      </c>
      <c r="C12" s="139"/>
      <c r="D12" s="139"/>
      <c r="E12" s="139"/>
      <c r="F12" s="272">
        <v>29686787.5</v>
      </c>
      <c r="G12" s="272">
        <v>33427</v>
      </c>
      <c r="H12" s="272">
        <v>254865795.34</v>
      </c>
      <c r="I12" s="272">
        <v>45229.73</v>
      </c>
      <c r="J12" s="272">
        <v>168246626.28999999</v>
      </c>
      <c r="K12" s="272">
        <v>528462.72</v>
      </c>
      <c r="L12" s="272">
        <v>0</v>
      </c>
      <c r="M12" s="272">
        <v>0</v>
      </c>
      <c r="N12" s="273">
        <v>58621262.450000003</v>
      </c>
      <c r="O12" s="273">
        <v>176722.29</v>
      </c>
      <c r="P12" s="272">
        <v>423112421.63</v>
      </c>
      <c r="Q12" s="272">
        <v>573692.44999999995</v>
      </c>
      <c r="R12" s="274">
        <v>452799209.13</v>
      </c>
      <c r="S12" s="275">
        <v>607120.19999999995</v>
      </c>
      <c r="T12" s="108">
        <v>452799209.13</v>
      </c>
      <c r="U12" s="108">
        <v>197933413.78999999</v>
      </c>
    </row>
    <row r="13" spans="1:22" ht="20.399999999999999" x14ac:dyDescent="0.3">
      <c r="A13" s="139" t="s">
        <v>447</v>
      </c>
      <c r="B13" s="139" t="s">
        <v>14</v>
      </c>
      <c r="C13" s="139"/>
      <c r="D13" s="139"/>
      <c r="E13" s="139"/>
      <c r="F13" s="272">
        <v>15455698</v>
      </c>
      <c r="G13" s="272">
        <v>22790</v>
      </c>
      <c r="H13" s="272">
        <v>61928647</v>
      </c>
      <c r="I13" s="272">
        <v>5373.88</v>
      </c>
      <c r="J13" s="272">
        <v>57244721</v>
      </c>
      <c r="K13" s="272">
        <v>150396.32</v>
      </c>
      <c r="L13" s="272">
        <v>2990901.7</v>
      </c>
      <c r="M13" s="272">
        <v>5479.21</v>
      </c>
      <c r="N13" s="273">
        <v>0</v>
      </c>
      <c r="O13" s="273">
        <v>0</v>
      </c>
      <c r="P13" s="272">
        <v>122164269.7</v>
      </c>
      <c r="Q13" s="272">
        <v>161249.41</v>
      </c>
      <c r="R13" s="274">
        <v>137619967.69999999</v>
      </c>
      <c r="S13" s="275">
        <v>184040.21</v>
      </c>
      <c r="T13" s="108">
        <v>134629066</v>
      </c>
      <c r="U13" s="108">
        <v>72700419</v>
      </c>
    </row>
    <row r="14" spans="1:22" ht="20.399999999999999" x14ac:dyDescent="0.3">
      <c r="A14" s="139" t="s">
        <v>447</v>
      </c>
      <c r="B14" s="139" t="s">
        <v>15</v>
      </c>
      <c r="C14" s="139"/>
      <c r="D14" s="139"/>
      <c r="E14" s="139"/>
      <c r="F14" s="272">
        <v>478450</v>
      </c>
      <c r="G14" s="272">
        <v>750</v>
      </c>
      <c r="H14" s="272">
        <v>17529372</v>
      </c>
      <c r="I14" s="272">
        <v>826.69</v>
      </c>
      <c r="J14" s="272">
        <v>6565386</v>
      </c>
      <c r="K14" s="272">
        <v>16771</v>
      </c>
      <c r="L14" s="272">
        <v>0</v>
      </c>
      <c r="M14" s="272">
        <v>0</v>
      </c>
      <c r="N14" s="273">
        <v>0</v>
      </c>
      <c r="O14" s="273">
        <v>0</v>
      </c>
      <c r="P14" s="272">
        <v>24094758</v>
      </c>
      <c r="Q14" s="272">
        <v>17597.689999999999</v>
      </c>
      <c r="R14" s="274">
        <v>24573208</v>
      </c>
      <c r="S14" s="275">
        <v>18348.29</v>
      </c>
      <c r="T14" s="108">
        <v>24573208</v>
      </c>
      <c r="U14" s="108">
        <v>7043836</v>
      </c>
    </row>
    <row r="15" spans="1:22" ht="20.399999999999999" x14ac:dyDescent="0.3">
      <c r="A15" s="139" t="s">
        <v>447</v>
      </c>
      <c r="B15" s="139" t="s">
        <v>16</v>
      </c>
      <c r="C15" s="139"/>
      <c r="D15" s="139"/>
      <c r="E15" s="139"/>
      <c r="F15" s="272">
        <v>798369</v>
      </c>
      <c r="G15" s="272">
        <v>0</v>
      </c>
      <c r="H15" s="272">
        <v>23247457</v>
      </c>
      <c r="I15" s="272">
        <v>0</v>
      </c>
      <c r="J15" s="272">
        <v>3782579</v>
      </c>
      <c r="K15" s="272">
        <v>11209</v>
      </c>
      <c r="L15" s="272">
        <v>0</v>
      </c>
      <c r="M15" s="272">
        <v>0</v>
      </c>
      <c r="N15" s="273">
        <v>0</v>
      </c>
      <c r="O15" s="273">
        <v>0</v>
      </c>
      <c r="P15" s="272">
        <v>27030036</v>
      </c>
      <c r="Q15" s="272">
        <v>11209</v>
      </c>
      <c r="R15" s="274">
        <v>27828405</v>
      </c>
      <c r="S15" s="275">
        <v>11209</v>
      </c>
      <c r="T15" s="108">
        <v>27828405</v>
      </c>
      <c r="U15" s="108">
        <v>4580948</v>
      </c>
    </row>
    <row r="16" spans="1:22" ht="20.399999999999999" x14ac:dyDescent="0.3">
      <c r="A16" s="139" t="s">
        <v>447</v>
      </c>
      <c r="B16" s="140" t="s">
        <v>17</v>
      </c>
      <c r="C16" s="140"/>
      <c r="D16" s="140"/>
      <c r="E16" s="140"/>
      <c r="F16" s="272">
        <v>250846891</v>
      </c>
      <c r="G16" s="272">
        <v>390824</v>
      </c>
      <c r="H16" s="272">
        <v>1202178782</v>
      </c>
      <c r="I16" s="272">
        <v>257570</v>
      </c>
      <c r="J16" s="272">
        <v>1017409890</v>
      </c>
      <c r="K16" s="272">
        <v>2245224</v>
      </c>
      <c r="L16" s="272">
        <v>38095925</v>
      </c>
      <c r="M16" s="272">
        <v>74250</v>
      </c>
      <c r="N16" s="273">
        <v>413770175</v>
      </c>
      <c r="O16" s="273">
        <v>787331</v>
      </c>
      <c r="P16" s="272">
        <v>2257684597</v>
      </c>
      <c r="Q16" s="272">
        <v>2577044</v>
      </c>
      <c r="R16" s="274">
        <v>2508531488</v>
      </c>
      <c r="S16" s="275">
        <v>2967868</v>
      </c>
      <c r="T16" s="108">
        <v>2470435563</v>
      </c>
      <c r="U16" s="108">
        <v>1268256781</v>
      </c>
    </row>
    <row r="17" spans="1:22" ht="20.399999999999999" x14ac:dyDescent="0.3">
      <c r="A17" s="139" t="s">
        <v>447</v>
      </c>
      <c r="B17" s="140" t="s">
        <v>18</v>
      </c>
      <c r="C17" s="140"/>
      <c r="D17" s="140"/>
      <c r="E17" s="140"/>
      <c r="F17" s="272">
        <v>106725615</v>
      </c>
      <c r="G17" s="272">
        <v>185907</v>
      </c>
      <c r="H17" s="272">
        <v>449207866</v>
      </c>
      <c r="I17" s="272">
        <v>135039</v>
      </c>
      <c r="J17" s="272">
        <v>263146477</v>
      </c>
      <c r="K17" s="272">
        <v>601259</v>
      </c>
      <c r="L17" s="272">
        <v>4279141</v>
      </c>
      <c r="M17" s="272">
        <v>8605</v>
      </c>
      <c r="N17" s="273">
        <v>98787815</v>
      </c>
      <c r="O17" s="273">
        <v>171705</v>
      </c>
      <c r="P17" s="272">
        <v>716633484</v>
      </c>
      <c r="Q17" s="272">
        <v>744903</v>
      </c>
      <c r="R17" s="274">
        <v>823359099</v>
      </c>
      <c r="S17" s="275">
        <v>930810</v>
      </c>
      <c r="T17" s="108">
        <v>819079958</v>
      </c>
      <c r="U17" s="108">
        <v>369872092</v>
      </c>
    </row>
    <row r="18" spans="1:22" x14ac:dyDescent="0.3">
      <c r="A18" s="139" t="s">
        <v>447</v>
      </c>
      <c r="B18" s="139" t="s">
        <v>19</v>
      </c>
      <c r="C18" s="139"/>
      <c r="D18" s="139"/>
      <c r="E18" s="139"/>
      <c r="F18" s="272">
        <v>1</v>
      </c>
      <c r="G18" s="272">
        <v>1</v>
      </c>
      <c r="H18" s="272">
        <v>107468847</v>
      </c>
      <c r="I18" s="272">
        <v>7540</v>
      </c>
      <c r="J18" s="272">
        <v>112352023</v>
      </c>
      <c r="K18" s="272">
        <v>187474</v>
      </c>
      <c r="L18" s="272">
        <v>0</v>
      </c>
      <c r="M18" s="272">
        <v>0</v>
      </c>
      <c r="N18" s="273">
        <v>10527574</v>
      </c>
      <c r="O18" s="273">
        <v>55609</v>
      </c>
      <c r="P18" s="272">
        <v>219820870</v>
      </c>
      <c r="Q18" s="272">
        <v>195014</v>
      </c>
      <c r="R18" s="274">
        <v>219820871</v>
      </c>
      <c r="S18" s="275">
        <v>195015</v>
      </c>
      <c r="T18" s="108">
        <v>219820871</v>
      </c>
      <c r="U18" s="108">
        <v>112352024</v>
      </c>
    </row>
    <row r="19" spans="1:22" x14ac:dyDescent="0.3">
      <c r="A19" s="139" t="s">
        <v>447</v>
      </c>
      <c r="B19" s="139" t="s">
        <v>20</v>
      </c>
      <c r="C19" s="139"/>
      <c r="D19" s="139"/>
      <c r="E19" s="139"/>
      <c r="F19" s="272">
        <v>227507289</v>
      </c>
      <c r="G19" s="272">
        <v>504762</v>
      </c>
      <c r="H19" s="272">
        <v>650599864.13999999</v>
      </c>
      <c r="I19" s="272">
        <v>121226.4</v>
      </c>
      <c r="J19" s="272">
        <v>724724625.66999996</v>
      </c>
      <c r="K19" s="272">
        <v>2171002.7599999998</v>
      </c>
      <c r="L19" s="272">
        <v>40066139.259999998</v>
      </c>
      <c r="M19" s="272">
        <v>67941.7</v>
      </c>
      <c r="N19" s="273">
        <v>177256773.63999999</v>
      </c>
      <c r="O19" s="273">
        <v>388700.96</v>
      </c>
      <c r="P19" s="272">
        <v>1415390629.0699999</v>
      </c>
      <c r="Q19" s="272">
        <v>2360170.86</v>
      </c>
      <c r="R19" s="274">
        <v>1642897918.0699999</v>
      </c>
      <c r="S19" s="275">
        <v>2864932.86</v>
      </c>
      <c r="T19" s="108">
        <v>1602831778.8099999</v>
      </c>
      <c r="U19" s="108">
        <v>952231914.66999996</v>
      </c>
    </row>
    <row r="20" spans="1:22" x14ac:dyDescent="0.3">
      <c r="A20" s="139" t="s">
        <v>447</v>
      </c>
      <c r="B20" s="139" t="s">
        <v>21</v>
      </c>
      <c r="C20" s="139"/>
      <c r="D20" s="139"/>
      <c r="E20" s="139"/>
      <c r="F20" s="272">
        <v>183353413.86000001</v>
      </c>
      <c r="G20" s="272">
        <v>337747</v>
      </c>
      <c r="H20" s="272">
        <v>520193823.5402</v>
      </c>
      <c r="I20" s="272">
        <v>124114.82333300001</v>
      </c>
      <c r="J20" s="272">
        <v>447522831.73300004</v>
      </c>
      <c r="K20" s="272">
        <v>1269751.25</v>
      </c>
      <c r="L20" s="272">
        <v>8368766.4000000004</v>
      </c>
      <c r="M20" s="272">
        <v>18909.099999999999</v>
      </c>
      <c r="N20" s="272">
        <v>259693420.31</v>
      </c>
      <c r="O20" s="272">
        <v>599210.93000000005</v>
      </c>
      <c r="P20" s="272">
        <v>976085421.67320001</v>
      </c>
      <c r="Q20" s="272">
        <v>1412775.1733329999</v>
      </c>
      <c r="R20" s="272">
        <v>1159438835.5332</v>
      </c>
      <c r="S20" s="272">
        <v>1750523.0733329998</v>
      </c>
      <c r="T20" s="272">
        <v>1151070069.1332002</v>
      </c>
      <c r="U20" s="272">
        <v>630876245.59299994</v>
      </c>
      <c r="V20" t="s">
        <v>448</v>
      </c>
    </row>
    <row r="21" spans="1:22" x14ac:dyDescent="0.3">
      <c r="A21" s="139" t="s">
        <v>447</v>
      </c>
      <c r="B21" s="139" t="s">
        <v>22</v>
      </c>
      <c r="C21" s="139"/>
      <c r="D21" s="139"/>
      <c r="E21" s="139"/>
      <c r="F21" s="272">
        <v>210569707</v>
      </c>
      <c r="G21" s="272">
        <v>444018</v>
      </c>
      <c r="H21" s="272">
        <v>911300246.80999994</v>
      </c>
      <c r="I21" s="272">
        <v>483761.84</v>
      </c>
      <c r="J21" s="272">
        <v>1002407655.7</v>
      </c>
      <c r="K21" s="272">
        <v>2271498.2000000002</v>
      </c>
      <c r="L21" s="272">
        <v>242857315.5</v>
      </c>
      <c r="M21" s="272">
        <v>463568.8</v>
      </c>
      <c r="N21" s="273">
        <v>495677164.07999998</v>
      </c>
      <c r="O21" s="273">
        <v>975912</v>
      </c>
      <c r="P21" s="272">
        <v>2156565218.0100002</v>
      </c>
      <c r="Q21" s="272">
        <v>3218828.84</v>
      </c>
      <c r="R21" s="274">
        <v>2367134925.0100002</v>
      </c>
      <c r="S21" s="275">
        <v>3662847.64</v>
      </c>
      <c r="T21" s="108">
        <v>2124277609.51</v>
      </c>
      <c r="U21" s="108">
        <v>1212977362.7</v>
      </c>
    </row>
    <row r="22" spans="1:22" ht="20.399999999999999" x14ac:dyDescent="0.3">
      <c r="A22" s="139" t="s">
        <v>447</v>
      </c>
      <c r="B22" s="139" t="s">
        <v>23</v>
      </c>
      <c r="C22" s="139"/>
      <c r="D22" s="139"/>
      <c r="E22" s="139"/>
      <c r="F22" s="272">
        <v>36838997.079999998</v>
      </c>
      <c r="G22" s="272">
        <v>62008</v>
      </c>
      <c r="H22" s="272">
        <v>156368050.84</v>
      </c>
      <c r="I22" s="272">
        <v>27806.93</v>
      </c>
      <c r="J22" s="272">
        <v>95469385.260000005</v>
      </c>
      <c r="K22" s="272">
        <v>223834.7</v>
      </c>
      <c r="L22" s="272">
        <v>2622219.85</v>
      </c>
      <c r="M22" s="272">
        <v>4948.96</v>
      </c>
      <c r="N22" s="273">
        <v>43660807.75</v>
      </c>
      <c r="O22" s="273">
        <v>88754.7</v>
      </c>
      <c r="P22" s="272">
        <v>254459655.94999999</v>
      </c>
      <c r="Q22" s="272">
        <v>256590.59</v>
      </c>
      <c r="R22" s="274">
        <v>291298653.02999997</v>
      </c>
      <c r="S22" s="275">
        <v>318599.03000000003</v>
      </c>
      <c r="T22" s="108">
        <v>288676433.18000001</v>
      </c>
      <c r="U22" s="108">
        <v>132308382.34</v>
      </c>
    </row>
    <row r="23" spans="1:22" ht="30.6" x14ac:dyDescent="0.3">
      <c r="A23" s="139" t="s">
        <v>447</v>
      </c>
      <c r="B23" s="139" t="s">
        <v>24</v>
      </c>
      <c r="C23" s="139"/>
      <c r="D23" s="139"/>
      <c r="E23" s="139"/>
      <c r="F23" s="272">
        <v>52664112</v>
      </c>
      <c r="G23" s="272">
        <v>109464</v>
      </c>
      <c r="H23" s="272">
        <v>170501882</v>
      </c>
      <c r="I23" s="272">
        <v>53268.71</v>
      </c>
      <c r="J23" s="272">
        <v>255076321</v>
      </c>
      <c r="K23" s="272">
        <v>502211.92</v>
      </c>
      <c r="L23" s="272">
        <v>0</v>
      </c>
      <c r="M23" s="272">
        <v>0</v>
      </c>
      <c r="N23" s="273">
        <v>108673765</v>
      </c>
      <c r="O23" s="273">
        <v>247265.74</v>
      </c>
      <c r="P23" s="272">
        <v>425578203</v>
      </c>
      <c r="Q23" s="272">
        <v>555480.63</v>
      </c>
      <c r="R23" s="274">
        <v>478242315</v>
      </c>
      <c r="S23" s="275">
        <v>664944.63</v>
      </c>
      <c r="T23" s="108">
        <v>478242315</v>
      </c>
      <c r="U23" s="108">
        <v>307740433</v>
      </c>
    </row>
    <row r="24" spans="1:22" ht="20.399999999999999" x14ac:dyDescent="0.3">
      <c r="A24" s="139" t="s">
        <v>447</v>
      </c>
      <c r="B24" s="139" t="s">
        <v>25</v>
      </c>
      <c r="C24" s="139"/>
      <c r="D24" s="139"/>
      <c r="E24" s="139"/>
      <c r="F24" s="272">
        <v>16301729</v>
      </c>
      <c r="G24" s="272">
        <v>28280</v>
      </c>
      <c r="H24" s="272">
        <v>37879556</v>
      </c>
      <c r="I24" s="272">
        <v>10155.73</v>
      </c>
      <c r="J24" s="272">
        <v>21704799</v>
      </c>
      <c r="K24" s="272">
        <v>60671.87</v>
      </c>
      <c r="L24" s="272">
        <v>63334264</v>
      </c>
      <c r="M24" s="272">
        <v>158301.4</v>
      </c>
      <c r="N24" s="273">
        <v>8950719</v>
      </c>
      <c r="O24" s="273">
        <v>16378.6</v>
      </c>
      <c r="P24" s="272">
        <v>122918619</v>
      </c>
      <c r="Q24" s="272">
        <v>229129</v>
      </c>
      <c r="R24" s="274">
        <v>139220348</v>
      </c>
      <c r="S24" s="275">
        <v>257409.34</v>
      </c>
      <c r="T24" s="108">
        <v>75886084</v>
      </c>
      <c r="U24" s="108">
        <v>38006528</v>
      </c>
    </row>
    <row r="25" spans="1:22" ht="20.399999999999999" x14ac:dyDescent="0.3">
      <c r="A25" s="139" t="s">
        <v>447</v>
      </c>
      <c r="B25" s="139" t="s">
        <v>26</v>
      </c>
      <c r="C25" s="139"/>
      <c r="D25" s="139"/>
      <c r="E25" s="139"/>
      <c r="F25" s="272">
        <v>8259498.4000000004</v>
      </c>
      <c r="G25" s="272">
        <v>14739</v>
      </c>
      <c r="H25" s="272">
        <v>37401936.700000003</v>
      </c>
      <c r="I25" s="272">
        <v>2791.9</v>
      </c>
      <c r="J25" s="272">
        <v>8855247.9000000004</v>
      </c>
      <c r="K25" s="272">
        <v>21742.1</v>
      </c>
      <c r="L25" s="272">
        <v>0</v>
      </c>
      <c r="M25" s="272">
        <v>0</v>
      </c>
      <c r="N25" s="273">
        <v>0</v>
      </c>
      <c r="O25" s="273">
        <v>0</v>
      </c>
      <c r="P25" s="272">
        <v>46257184.600000001</v>
      </c>
      <c r="Q25" s="272">
        <v>24534</v>
      </c>
      <c r="R25" s="274">
        <v>54516683</v>
      </c>
      <c r="S25" s="275">
        <v>39273</v>
      </c>
      <c r="T25" s="108">
        <v>54516683</v>
      </c>
      <c r="U25" s="108">
        <v>17114746.300000001</v>
      </c>
    </row>
    <row r="26" spans="1:22" ht="20.399999999999999" x14ac:dyDescent="0.3">
      <c r="A26" s="139" t="s">
        <v>447</v>
      </c>
      <c r="B26" s="139" t="s">
        <v>27</v>
      </c>
      <c r="C26" s="139"/>
      <c r="D26" s="139"/>
      <c r="E26" s="139"/>
      <c r="F26" s="272">
        <v>68913583.099999994</v>
      </c>
      <c r="G26" s="272">
        <v>169060</v>
      </c>
      <c r="H26" s="272">
        <v>299644634.06999999</v>
      </c>
      <c r="I26" s="272">
        <v>56516.35</v>
      </c>
      <c r="J26" s="272">
        <v>111682700.55</v>
      </c>
      <c r="K26" s="272">
        <v>322405.03999999998</v>
      </c>
      <c r="L26" s="272">
        <v>10695832.890000001</v>
      </c>
      <c r="M26" s="272">
        <v>20658.14</v>
      </c>
      <c r="N26" s="273">
        <v>4507656.12</v>
      </c>
      <c r="O26" s="273">
        <v>12525.04</v>
      </c>
      <c r="P26" s="272">
        <v>422023167.50999999</v>
      </c>
      <c r="Q26" s="272">
        <v>399579.53</v>
      </c>
      <c r="R26" s="274">
        <v>490936750.61000001</v>
      </c>
      <c r="S26" s="275">
        <v>568640.38</v>
      </c>
      <c r="T26" s="108">
        <v>480240917.71999997</v>
      </c>
      <c r="U26" s="108">
        <v>180596283.64999998</v>
      </c>
    </row>
    <row r="27" spans="1:22" x14ac:dyDescent="0.3">
      <c r="A27" s="139" t="s">
        <v>447</v>
      </c>
      <c r="B27" s="139" t="s">
        <v>28</v>
      </c>
      <c r="C27" s="139"/>
      <c r="D27" s="139"/>
      <c r="E27" s="139"/>
      <c r="F27" s="272">
        <v>127658497.11</v>
      </c>
      <c r="G27" s="272">
        <v>282391</v>
      </c>
      <c r="H27" s="272">
        <v>192146831.27000001</v>
      </c>
      <c r="I27" s="272">
        <v>54830.8</v>
      </c>
      <c r="J27" s="272">
        <v>269823282.29000002</v>
      </c>
      <c r="K27" s="272">
        <v>601038.38</v>
      </c>
      <c r="L27" s="272">
        <v>3139758.12</v>
      </c>
      <c r="M27" s="272">
        <v>5723.72</v>
      </c>
      <c r="N27" s="273">
        <v>178028756.16999999</v>
      </c>
      <c r="O27" s="273">
        <v>370404.2</v>
      </c>
      <c r="P27" s="272">
        <v>465109871.68000001</v>
      </c>
      <c r="Q27" s="272">
        <v>661592.9</v>
      </c>
      <c r="R27" s="274">
        <v>592768368.78999996</v>
      </c>
      <c r="S27" s="275">
        <v>943984.14</v>
      </c>
      <c r="T27" s="108">
        <v>589628610.67000008</v>
      </c>
      <c r="U27" s="108">
        <v>397481779.40000004</v>
      </c>
    </row>
    <row r="28" spans="1:22" ht="20.399999999999999" x14ac:dyDescent="0.3">
      <c r="A28" s="139" t="s">
        <v>447</v>
      </c>
      <c r="B28" s="139" t="s">
        <v>29</v>
      </c>
      <c r="C28" s="139"/>
      <c r="D28" s="139"/>
      <c r="E28" s="139"/>
      <c r="F28" s="272">
        <v>727134.55</v>
      </c>
      <c r="G28" s="272">
        <v>0</v>
      </c>
      <c r="H28" s="272">
        <v>52620671</v>
      </c>
      <c r="I28" s="272">
        <v>0</v>
      </c>
      <c r="J28" s="272">
        <v>18961128</v>
      </c>
      <c r="K28" s="272">
        <v>49880</v>
      </c>
      <c r="L28" s="272">
        <v>0</v>
      </c>
      <c r="M28" s="272">
        <v>0</v>
      </c>
      <c r="N28" s="273">
        <v>0</v>
      </c>
      <c r="O28" s="273">
        <v>0</v>
      </c>
      <c r="P28" s="272">
        <v>71581799</v>
      </c>
      <c r="Q28" s="272">
        <v>49880</v>
      </c>
      <c r="R28" s="274">
        <v>72308933.549999997</v>
      </c>
      <c r="S28" s="275">
        <v>49880</v>
      </c>
      <c r="T28" s="108">
        <v>72308933.549999997</v>
      </c>
      <c r="U28" s="108">
        <v>19688262.550000001</v>
      </c>
    </row>
    <row r="29" spans="1:22" ht="20.399999999999999" x14ac:dyDescent="0.3">
      <c r="A29" s="139" t="s">
        <v>447</v>
      </c>
      <c r="B29" s="139" t="s">
        <v>30</v>
      </c>
      <c r="C29" s="139"/>
      <c r="D29" s="139"/>
      <c r="E29" s="139"/>
      <c r="F29" s="272">
        <v>83591639.680000007</v>
      </c>
      <c r="G29" s="272">
        <v>147260</v>
      </c>
      <c r="H29" s="272">
        <v>514629970.98000002</v>
      </c>
      <c r="I29" s="272">
        <v>173561.67</v>
      </c>
      <c r="J29" s="272">
        <v>245875032.91999999</v>
      </c>
      <c r="K29" s="272">
        <v>570066.76</v>
      </c>
      <c r="L29" s="272">
        <v>3624729.23</v>
      </c>
      <c r="M29" s="272">
        <v>6810.36</v>
      </c>
      <c r="N29" s="273">
        <v>36594283.759999998</v>
      </c>
      <c r="O29" s="273">
        <v>138457.79</v>
      </c>
      <c r="P29" s="272">
        <v>764129733.13</v>
      </c>
      <c r="Q29" s="272">
        <v>750438.79</v>
      </c>
      <c r="R29" s="274">
        <v>847721372.80999994</v>
      </c>
      <c r="S29" s="275">
        <v>897699.23</v>
      </c>
      <c r="T29" s="108">
        <v>844096643.58000004</v>
      </c>
      <c r="U29" s="108">
        <v>329466672.60000002</v>
      </c>
    </row>
    <row r="30" spans="1:22" ht="20.399999999999999" x14ac:dyDescent="0.3">
      <c r="A30" s="139" t="s">
        <v>447</v>
      </c>
      <c r="B30" s="139" t="s">
        <v>31</v>
      </c>
      <c r="C30" s="139"/>
      <c r="D30" s="139"/>
      <c r="E30" s="139"/>
      <c r="F30" s="272">
        <v>17783005.859999999</v>
      </c>
      <c r="G30" s="272">
        <v>33510</v>
      </c>
      <c r="H30" s="272">
        <v>105239592.08</v>
      </c>
      <c r="I30" s="272">
        <v>7372.42</v>
      </c>
      <c r="J30" s="272">
        <v>76441698.939999998</v>
      </c>
      <c r="K30" s="272">
        <v>249262.46</v>
      </c>
      <c r="L30" s="272">
        <v>3429861.18</v>
      </c>
      <c r="M30" s="272">
        <v>6718.85</v>
      </c>
      <c r="N30" s="273">
        <v>1987519.2</v>
      </c>
      <c r="O30" s="273">
        <v>4930.41</v>
      </c>
      <c r="P30" s="272">
        <v>185111152.19999999</v>
      </c>
      <c r="Q30" s="272">
        <v>263353.73</v>
      </c>
      <c r="R30" s="274">
        <v>202894158.06</v>
      </c>
      <c r="S30" s="275">
        <v>296864.11</v>
      </c>
      <c r="T30" s="108">
        <v>199464296.88</v>
      </c>
      <c r="U30" s="108">
        <v>94224704.799999997</v>
      </c>
    </row>
    <row r="31" spans="1:22" x14ac:dyDescent="0.3">
      <c r="A31" s="139" t="s">
        <v>447</v>
      </c>
      <c r="B31" s="139" t="s">
        <v>32</v>
      </c>
      <c r="C31" s="139"/>
      <c r="D31" s="139"/>
      <c r="E31" s="139"/>
      <c r="F31" s="272">
        <v>67385238</v>
      </c>
      <c r="G31" s="272">
        <v>128208</v>
      </c>
      <c r="H31" s="272">
        <v>245359146</v>
      </c>
      <c r="I31" s="272">
        <v>54012</v>
      </c>
      <c r="J31" s="272">
        <v>164250010</v>
      </c>
      <c r="K31" s="272">
        <v>471178</v>
      </c>
      <c r="L31" s="272">
        <v>4234039</v>
      </c>
      <c r="M31" s="272">
        <v>7376</v>
      </c>
      <c r="N31" s="273">
        <v>44894121</v>
      </c>
      <c r="O31" s="273">
        <v>128188</v>
      </c>
      <c r="P31" s="272">
        <v>413843195</v>
      </c>
      <c r="Q31" s="272">
        <v>532566</v>
      </c>
      <c r="R31" s="274">
        <v>481228433</v>
      </c>
      <c r="S31" s="275">
        <v>660774</v>
      </c>
      <c r="T31" s="108">
        <v>476994394</v>
      </c>
      <c r="U31" s="108">
        <v>231635248</v>
      </c>
    </row>
    <row r="32" spans="1:22" ht="20.399999999999999" x14ac:dyDescent="0.3">
      <c r="A32" s="139" t="s">
        <v>447</v>
      </c>
      <c r="B32" s="139" t="s">
        <v>33</v>
      </c>
      <c r="C32" s="139"/>
      <c r="D32" s="139"/>
      <c r="E32" s="139"/>
      <c r="F32" s="272">
        <v>4459529</v>
      </c>
      <c r="G32" s="272">
        <v>8648</v>
      </c>
      <c r="H32" s="272">
        <v>34531487</v>
      </c>
      <c r="I32" s="272">
        <v>15231</v>
      </c>
      <c r="J32" s="272">
        <v>38261730</v>
      </c>
      <c r="K32" s="272">
        <v>97243</v>
      </c>
      <c r="L32" s="272">
        <v>0</v>
      </c>
      <c r="M32" s="272">
        <v>0</v>
      </c>
      <c r="N32" s="273">
        <v>9182319</v>
      </c>
      <c r="O32" s="273">
        <v>24138</v>
      </c>
      <c r="P32" s="272">
        <v>72793217</v>
      </c>
      <c r="Q32" s="272">
        <v>112474</v>
      </c>
      <c r="R32" s="274">
        <v>77252746</v>
      </c>
      <c r="S32" s="275">
        <v>121122</v>
      </c>
      <c r="T32" s="108">
        <v>77252746</v>
      </c>
      <c r="U32" s="108">
        <v>42721259</v>
      </c>
    </row>
    <row r="33" spans="1:22" x14ac:dyDescent="0.3">
      <c r="A33" s="139" t="s">
        <v>447</v>
      </c>
      <c r="B33" s="139" t="s">
        <v>34</v>
      </c>
      <c r="C33" s="139"/>
      <c r="D33" s="139"/>
      <c r="E33" s="139"/>
      <c r="F33" s="272">
        <v>791335</v>
      </c>
      <c r="G33" s="272">
        <v>0</v>
      </c>
      <c r="H33" s="272">
        <v>6896834</v>
      </c>
      <c r="I33" s="272">
        <v>5327</v>
      </c>
      <c r="J33" s="272">
        <v>1308656</v>
      </c>
      <c r="K33" s="272">
        <v>389.4</v>
      </c>
      <c r="L33" s="272">
        <v>0</v>
      </c>
      <c r="M33" s="272">
        <v>0</v>
      </c>
      <c r="N33" s="273">
        <v>0</v>
      </c>
      <c r="O33" s="273">
        <v>0</v>
      </c>
      <c r="P33" s="272">
        <v>8205490</v>
      </c>
      <c r="Q33" s="272">
        <v>5716.4</v>
      </c>
      <c r="R33" s="274">
        <v>8996825</v>
      </c>
      <c r="S33" s="275">
        <v>5716.4</v>
      </c>
      <c r="T33" s="108">
        <v>8996825</v>
      </c>
      <c r="U33" s="108">
        <v>2099991</v>
      </c>
    </row>
    <row r="34" spans="1:22" x14ac:dyDescent="0.3">
      <c r="A34" s="139" t="s">
        <v>447</v>
      </c>
      <c r="B34" s="139" t="s">
        <v>35</v>
      </c>
      <c r="C34" s="139"/>
      <c r="D34" s="139"/>
      <c r="E34" s="139"/>
      <c r="F34" s="272">
        <v>11823941.73</v>
      </c>
      <c r="G34" s="272">
        <v>17702</v>
      </c>
      <c r="H34" s="272">
        <v>60851387</v>
      </c>
      <c r="I34" s="272">
        <v>199</v>
      </c>
      <c r="J34" s="272">
        <v>66281756</v>
      </c>
      <c r="K34" s="272">
        <v>170891</v>
      </c>
      <c r="L34" s="272">
        <v>0</v>
      </c>
      <c r="M34" s="272">
        <v>0</v>
      </c>
      <c r="N34" s="273">
        <v>6068661.7400000002</v>
      </c>
      <c r="O34" s="273">
        <v>14240.84</v>
      </c>
      <c r="P34" s="272">
        <v>127133143</v>
      </c>
      <c r="Q34" s="272">
        <v>171090</v>
      </c>
      <c r="R34" s="274">
        <v>138957084.72999999</v>
      </c>
      <c r="S34" s="275">
        <v>188792.4</v>
      </c>
      <c r="T34" s="108">
        <v>138957084.73000002</v>
      </c>
      <c r="U34" s="108">
        <v>78105697.730000004</v>
      </c>
    </row>
    <row r="35" spans="1:22" x14ac:dyDescent="0.3">
      <c r="A35" s="139" t="s">
        <v>447</v>
      </c>
      <c r="B35" s="139" t="s">
        <v>36</v>
      </c>
      <c r="C35" s="139"/>
      <c r="D35" s="139"/>
      <c r="E35" s="139"/>
      <c r="F35" s="272">
        <v>2601735430.5799999</v>
      </c>
      <c r="G35" s="272">
        <v>2058232</v>
      </c>
      <c r="H35" s="272">
        <v>14216239677.58</v>
      </c>
      <c r="I35" s="272">
        <v>0</v>
      </c>
      <c r="J35" s="272">
        <v>7130075922.6099997</v>
      </c>
      <c r="K35" s="272">
        <v>20184160.969999999</v>
      </c>
      <c r="L35" s="272">
        <v>9848217318.2900009</v>
      </c>
      <c r="M35" s="272">
        <v>19492592.780000001</v>
      </c>
      <c r="N35" s="273">
        <v>3007063245.8699999</v>
      </c>
      <c r="O35" s="273">
        <v>6506853.9400000004</v>
      </c>
      <c r="P35" s="272">
        <v>31194532918.48</v>
      </c>
      <c r="Q35" s="272">
        <v>39676753.75</v>
      </c>
      <c r="R35" s="274">
        <v>33796268349.060001</v>
      </c>
      <c r="S35" s="275">
        <v>41734986.549999997</v>
      </c>
      <c r="T35" s="108">
        <v>23948051030.77</v>
      </c>
      <c r="U35" s="108">
        <v>9731811353.1899986</v>
      </c>
    </row>
    <row r="36" spans="1:22" ht="20.399999999999999" x14ac:dyDescent="0.3">
      <c r="A36" s="139" t="s">
        <v>447</v>
      </c>
      <c r="B36" s="139" t="s">
        <v>37</v>
      </c>
      <c r="C36" s="139"/>
      <c r="D36" s="139"/>
      <c r="E36" s="139"/>
      <c r="F36" s="272">
        <v>0</v>
      </c>
      <c r="G36" s="272">
        <v>0</v>
      </c>
      <c r="H36" s="272">
        <v>0</v>
      </c>
      <c r="I36" s="272">
        <v>0</v>
      </c>
      <c r="J36" s="272">
        <v>0</v>
      </c>
      <c r="K36" s="272">
        <v>0</v>
      </c>
      <c r="L36" s="272">
        <v>0</v>
      </c>
      <c r="M36" s="272">
        <v>0</v>
      </c>
      <c r="N36" s="110"/>
      <c r="O36" s="110"/>
      <c r="P36" s="272">
        <v>0</v>
      </c>
      <c r="Q36" s="272">
        <v>0</v>
      </c>
      <c r="R36" s="274">
        <v>0</v>
      </c>
      <c r="S36" s="275">
        <v>0</v>
      </c>
      <c r="T36" s="108">
        <v>0</v>
      </c>
      <c r="U36" s="108">
        <v>0</v>
      </c>
    </row>
    <row r="37" spans="1:22" x14ac:dyDescent="0.3">
      <c r="A37" s="139" t="s">
        <v>447</v>
      </c>
      <c r="B37" s="139" t="s">
        <v>38</v>
      </c>
      <c r="C37" s="139"/>
      <c r="D37" s="139"/>
      <c r="E37" s="139"/>
      <c r="F37" s="272">
        <v>596269945</v>
      </c>
      <c r="G37" s="272">
        <v>1018231</v>
      </c>
      <c r="H37" s="272">
        <v>3073564932</v>
      </c>
      <c r="I37" s="272">
        <v>839071</v>
      </c>
      <c r="J37" s="272">
        <v>3517410049</v>
      </c>
      <c r="K37" s="272">
        <v>7921222</v>
      </c>
      <c r="L37" s="272">
        <v>33972968</v>
      </c>
      <c r="M37" s="272">
        <v>63608</v>
      </c>
      <c r="N37" s="273">
        <v>792796607</v>
      </c>
      <c r="O37" s="273">
        <v>1509115</v>
      </c>
      <c r="P37" s="272">
        <v>6624947949</v>
      </c>
      <c r="Q37" s="272">
        <v>8823901</v>
      </c>
      <c r="R37" s="274">
        <v>7221217894</v>
      </c>
      <c r="S37" s="275">
        <v>9842132</v>
      </c>
      <c r="T37" s="108">
        <v>7187244926</v>
      </c>
      <c r="U37" s="108">
        <v>4113679994</v>
      </c>
    </row>
    <row r="38" spans="1:22" x14ac:dyDescent="0.3">
      <c r="A38" s="139" t="s">
        <v>447</v>
      </c>
      <c r="B38" s="139" t="s">
        <v>39</v>
      </c>
      <c r="C38" s="139"/>
      <c r="D38" s="139"/>
      <c r="E38" s="139"/>
      <c r="F38" s="272">
        <v>19743663.52</v>
      </c>
      <c r="G38" s="272">
        <v>26895</v>
      </c>
      <c r="H38" s="272">
        <v>169038199.53</v>
      </c>
      <c r="I38" s="272">
        <v>11536.66</v>
      </c>
      <c r="J38" s="272">
        <v>53490349.799999997</v>
      </c>
      <c r="K38" s="272">
        <v>126552.88</v>
      </c>
      <c r="L38" s="272">
        <v>0</v>
      </c>
      <c r="M38" s="272">
        <v>0</v>
      </c>
      <c r="N38" s="273">
        <v>0</v>
      </c>
      <c r="O38" s="273">
        <v>0</v>
      </c>
      <c r="P38" s="272">
        <v>222528549.33000001</v>
      </c>
      <c r="Q38" s="272">
        <v>138089.54</v>
      </c>
      <c r="R38" s="274">
        <v>242272212.84999999</v>
      </c>
      <c r="S38" s="275">
        <v>164985.39000000001</v>
      </c>
      <c r="T38" s="108">
        <v>242272212.85000002</v>
      </c>
      <c r="U38" s="108">
        <v>73234013.319999993</v>
      </c>
    </row>
    <row r="39" spans="1:22" ht="30.6" x14ac:dyDescent="0.3">
      <c r="A39" s="139" t="s">
        <v>447</v>
      </c>
      <c r="B39" s="139" t="s">
        <v>60</v>
      </c>
      <c r="C39" s="139"/>
      <c r="D39" s="139"/>
      <c r="E39" s="139"/>
      <c r="F39" s="272">
        <v>17441922</v>
      </c>
      <c r="G39" s="272">
        <v>34899</v>
      </c>
      <c r="H39" s="272">
        <v>76633740</v>
      </c>
      <c r="I39" s="272">
        <v>12938</v>
      </c>
      <c r="J39" s="272">
        <v>0</v>
      </c>
      <c r="K39" s="272">
        <v>47808</v>
      </c>
      <c r="L39" s="272">
        <v>0</v>
      </c>
      <c r="M39" s="272">
        <v>0</v>
      </c>
      <c r="N39" s="273">
        <v>0</v>
      </c>
      <c r="O39" s="273">
        <v>0</v>
      </c>
      <c r="P39" s="272">
        <v>76633740</v>
      </c>
      <c r="Q39" s="272">
        <v>60746</v>
      </c>
      <c r="R39" s="274">
        <v>94075662</v>
      </c>
      <c r="S39" s="275">
        <v>95645</v>
      </c>
      <c r="T39" s="108">
        <v>94075662</v>
      </c>
      <c r="U39" s="108">
        <v>17441922</v>
      </c>
    </row>
    <row r="40" spans="1:22" ht="20.399999999999999" x14ac:dyDescent="0.3">
      <c r="A40" s="139" t="s">
        <v>447</v>
      </c>
      <c r="B40" s="139" t="s">
        <v>40</v>
      </c>
      <c r="C40" s="139"/>
      <c r="D40" s="139"/>
      <c r="E40" s="139"/>
      <c r="F40" s="272">
        <v>114319077.89</v>
      </c>
      <c r="G40" s="272">
        <v>187110</v>
      </c>
      <c r="H40" s="272">
        <v>282569526.48000002</v>
      </c>
      <c r="I40" s="272">
        <v>91031.89</v>
      </c>
      <c r="J40" s="272">
        <v>286949290.81999999</v>
      </c>
      <c r="K40" s="272">
        <v>655846.54</v>
      </c>
      <c r="L40" s="272">
        <v>3991091.73</v>
      </c>
      <c r="M40" s="272">
        <v>7194.82</v>
      </c>
      <c r="N40" s="273">
        <v>167050916.54499999</v>
      </c>
      <c r="O40" s="273">
        <v>309046.13</v>
      </c>
      <c r="P40" s="272">
        <v>573509909.02999997</v>
      </c>
      <c r="Q40" s="272">
        <v>754073.25</v>
      </c>
      <c r="R40" s="274">
        <v>687828986.91999996</v>
      </c>
      <c r="S40" s="275">
        <v>941183.38</v>
      </c>
      <c r="T40" s="108">
        <v>683837895.19000006</v>
      </c>
      <c r="U40" s="108">
        <v>401268368.70999998</v>
      </c>
    </row>
    <row r="41" spans="1:22" ht="20.399999999999999" x14ac:dyDescent="0.3">
      <c r="A41" s="139" t="s">
        <v>447</v>
      </c>
      <c r="B41" s="139" t="s">
        <v>41</v>
      </c>
      <c r="C41" s="139"/>
      <c r="D41" s="139"/>
      <c r="E41" s="139"/>
      <c r="F41" s="272">
        <v>228479344.14809999</v>
      </c>
      <c r="G41" s="272">
        <v>483788</v>
      </c>
      <c r="H41" s="272">
        <v>920148191.60609996</v>
      </c>
      <c r="I41" s="272">
        <v>0</v>
      </c>
      <c r="J41" s="272">
        <v>544745702.98979998</v>
      </c>
      <c r="K41" s="272">
        <v>1696000.82</v>
      </c>
      <c r="L41" s="272">
        <v>36015512.644599997</v>
      </c>
      <c r="M41" s="272">
        <v>75203.73</v>
      </c>
      <c r="N41" s="273">
        <v>101928298.7033</v>
      </c>
      <c r="O41" s="273">
        <v>246827.27</v>
      </c>
      <c r="P41" s="272">
        <v>1500909407.2405</v>
      </c>
      <c r="Q41" s="272">
        <v>1771204.55</v>
      </c>
      <c r="R41" s="274">
        <v>1729388751.3886001</v>
      </c>
      <c r="S41" s="275">
        <v>2254993.34</v>
      </c>
      <c r="T41" s="108">
        <v>1693373238.744</v>
      </c>
      <c r="U41" s="108">
        <v>773225047.13789999</v>
      </c>
    </row>
    <row r="42" spans="1:22" x14ac:dyDescent="0.3">
      <c r="A42" s="139" t="s">
        <v>447</v>
      </c>
      <c r="B42" s="139" t="s">
        <v>42</v>
      </c>
      <c r="C42" s="139"/>
      <c r="D42" s="139"/>
      <c r="E42" s="139"/>
      <c r="F42" s="272">
        <v>47054173.200000003</v>
      </c>
      <c r="G42" s="272">
        <v>98097</v>
      </c>
      <c r="H42" s="272">
        <v>107185873.77</v>
      </c>
      <c r="I42" s="272">
        <v>37571.910000000003</v>
      </c>
      <c r="J42" s="272">
        <v>82165013.349999994</v>
      </c>
      <c r="K42" s="272">
        <v>217260.25</v>
      </c>
      <c r="L42" s="272">
        <v>0</v>
      </c>
      <c r="M42" s="272">
        <v>0</v>
      </c>
      <c r="N42" s="273">
        <v>35989737.780000001</v>
      </c>
      <c r="O42" s="273">
        <v>67522.600000000006</v>
      </c>
      <c r="P42" s="272">
        <v>189350887.12</v>
      </c>
      <c r="Q42" s="272">
        <v>254832.16</v>
      </c>
      <c r="R42" s="274">
        <v>236405060.31999999</v>
      </c>
      <c r="S42" s="275">
        <v>352929.99</v>
      </c>
      <c r="T42" s="108">
        <v>236405060.31999999</v>
      </c>
      <c r="U42" s="108">
        <v>129219186.55</v>
      </c>
    </row>
    <row r="43" spans="1:22" ht="20.399999999999999" x14ac:dyDescent="0.3">
      <c r="A43" s="139" t="s">
        <v>447</v>
      </c>
      <c r="B43" s="139" t="s">
        <v>43</v>
      </c>
      <c r="C43" s="139"/>
      <c r="D43" s="139"/>
      <c r="E43" s="139"/>
      <c r="F43" s="272">
        <v>40223748.530000001</v>
      </c>
      <c r="G43" s="272">
        <v>63614</v>
      </c>
      <c r="H43" s="272">
        <v>153225832.69</v>
      </c>
      <c r="I43" s="272">
        <v>13735.84</v>
      </c>
      <c r="J43" s="272">
        <v>85383662.409999996</v>
      </c>
      <c r="K43" s="272">
        <v>205934.76</v>
      </c>
      <c r="L43" s="272">
        <v>0</v>
      </c>
      <c r="M43" s="272">
        <v>0</v>
      </c>
      <c r="N43" s="273">
        <v>21850617.449999999</v>
      </c>
      <c r="O43" s="273">
        <v>46473.14</v>
      </c>
      <c r="P43" s="272">
        <v>238609495.09999999</v>
      </c>
      <c r="Q43" s="272">
        <v>219670.6</v>
      </c>
      <c r="R43" s="274">
        <v>278833243.63</v>
      </c>
      <c r="S43" s="275">
        <v>283285.49</v>
      </c>
      <c r="T43" s="108">
        <v>278833243.63</v>
      </c>
      <c r="U43" s="108">
        <v>125607410.94</v>
      </c>
    </row>
    <row r="44" spans="1:22" x14ac:dyDescent="0.3">
      <c r="A44" s="139" t="s">
        <v>447</v>
      </c>
      <c r="B44" s="139" t="s">
        <v>44</v>
      </c>
      <c r="C44" s="139"/>
      <c r="D44" s="139"/>
      <c r="E44" s="139"/>
      <c r="F44" s="272">
        <v>308291183</v>
      </c>
      <c r="G44" s="272">
        <v>544177</v>
      </c>
      <c r="H44" s="272">
        <v>1460615181</v>
      </c>
      <c r="I44" s="272">
        <v>326018.82</v>
      </c>
      <c r="J44" s="272">
        <v>1301468785</v>
      </c>
      <c r="K44" s="272">
        <v>3339530.28</v>
      </c>
      <c r="L44" s="272">
        <v>0</v>
      </c>
      <c r="M44" s="272">
        <v>29977.91</v>
      </c>
      <c r="N44" s="273">
        <v>380970587.80000001</v>
      </c>
      <c r="O44" s="273">
        <v>882768.7</v>
      </c>
      <c r="P44" s="272">
        <v>2762083966</v>
      </c>
      <c r="Q44" s="272">
        <v>3695527.01</v>
      </c>
      <c r="R44" s="274">
        <v>3070375149</v>
      </c>
      <c r="S44" s="275">
        <v>4239704.01</v>
      </c>
      <c r="T44" s="108">
        <v>3070375149</v>
      </c>
      <c r="U44" s="108">
        <v>1609759968</v>
      </c>
    </row>
    <row r="45" spans="1:22" ht="20.399999999999999" x14ac:dyDescent="0.3">
      <c r="A45" s="139" t="s">
        <v>447</v>
      </c>
      <c r="B45" s="139" t="s">
        <v>0</v>
      </c>
      <c r="C45" s="139"/>
      <c r="D45" s="139"/>
      <c r="E45" s="139"/>
      <c r="F45" s="272">
        <v>55999485</v>
      </c>
      <c r="G45" s="272">
        <v>83880</v>
      </c>
      <c r="H45" s="272">
        <v>392752396</v>
      </c>
      <c r="I45" s="272">
        <v>111784</v>
      </c>
      <c r="J45" s="272">
        <v>408481334</v>
      </c>
      <c r="K45" s="272">
        <v>937468</v>
      </c>
      <c r="L45" s="272">
        <v>4746499</v>
      </c>
      <c r="M45" s="272">
        <v>10149</v>
      </c>
      <c r="N45" s="273">
        <v>172175189</v>
      </c>
      <c r="O45" s="273">
        <v>348415</v>
      </c>
      <c r="P45" s="272">
        <v>805980229</v>
      </c>
      <c r="Q45" s="272">
        <v>1059401</v>
      </c>
      <c r="R45" s="274">
        <v>861979714</v>
      </c>
      <c r="S45" s="275">
        <v>1143281</v>
      </c>
      <c r="T45" s="108">
        <v>857233215</v>
      </c>
      <c r="U45" s="108">
        <v>464480819</v>
      </c>
    </row>
    <row r="46" spans="1:22" ht="20.399999999999999" x14ac:dyDescent="0.3">
      <c r="A46" s="139" t="s">
        <v>447</v>
      </c>
      <c r="B46" s="139" t="s">
        <v>45</v>
      </c>
      <c r="C46" s="139"/>
      <c r="D46" s="139"/>
      <c r="E46" s="139"/>
      <c r="F46" s="272">
        <v>105108463.28</v>
      </c>
      <c r="G46" s="272">
        <v>186978</v>
      </c>
      <c r="H46" s="272">
        <v>414624260.27999997</v>
      </c>
      <c r="I46" s="272">
        <v>27565.94</v>
      </c>
      <c r="J46" s="272">
        <v>245576659.44</v>
      </c>
      <c r="K46" s="272">
        <v>734211.71</v>
      </c>
      <c r="L46" s="272">
        <v>8346156.71</v>
      </c>
      <c r="M46" s="272">
        <v>16586.13</v>
      </c>
      <c r="N46" s="272">
        <v>58022674</v>
      </c>
      <c r="O46" s="272">
        <v>78458.95</v>
      </c>
      <c r="P46" s="272">
        <v>668547076.43000007</v>
      </c>
      <c r="Q46" s="272">
        <v>778363.78</v>
      </c>
      <c r="R46" s="272">
        <v>773655539.71000004</v>
      </c>
      <c r="S46" s="272">
        <v>965341.84000000008</v>
      </c>
      <c r="T46" s="272">
        <v>765309383</v>
      </c>
      <c r="U46" s="272">
        <v>350685122.72000003</v>
      </c>
      <c r="V46" t="s">
        <v>449</v>
      </c>
    </row>
    <row r="47" spans="1:22" ht="20.399999999999999" x14ac:dyDescent="0.3">
      <c r="A47" s="139" t="s">
        <v>447</v>
      </c>
      <c r="B47" s="139" t="s">
        <v>46</v>
      </c>
      <c r="C47" s="139"/>
      <c r="D47" s="139"/>
      <c r="E47" s="139"/>
      <c r="F47" s="272">
        <v>106112631.2</v>
      </c>
      <c r="G47" s="272">
        <v>173790</v>
      </c>
      <c r="H47" s="272">
        <v>526127849</v>
      </c>
      <c r="I47" s="272">
        <v>75196</v>
      </c>
      <c r="J47" s="272">
        <v>532194727</v>
      </c>
      <c r="K47" s="272">
        <v>1358241</v>
      </c>
      <c r="L47" s="272">
        <v>0</v>
      </c>
      <c r="M47" s="272">
        <v>0</v>
      </c>
      <c r="N47" s="273">
        <v>54341326</v>
      </c>
      <c r="O47" s="273">
        <v>124075</v>
      </c>
      <c r="P47" s="272">
        <v>1058322576</v>
      </c>
      <c r="Q47" s="272">
        <v>1433437</v>
      </c>
      <c r="R47" s="274">
        <v>1164435207.2</v>
      </c>
      <c r="S47" s="275">
        <v>1607227.04</v>
      </c>
      <c r="T47" s="108">
        <v>1164435207.2</v>
      </c>
      <c r="U47" s="108">
        <v>638307358.20000005</v>
      </c>
    </row>
    <row r="48" spans="1:22" ht="20.399999999999999" x14ac:dyDescent="0.3">
      <c r="A48" s="139" t="s">
        <v>447</v>
      </c>
      <c r="B48" s="139" t="s">
        <v>47</v>
      </c>
      <c r="C48" s="139"/>
      <c r="D48" s="139"/>
      <c r="E48" s="139"/>
      <c r="F48" s="272">
        <v>27480635.140000001</v>
      </c>
      <c r="G48" s="272">
        <v>50044</v>
      </c>
      <c r="H48" s="272">
        <v>110282243.64</v>
      </c>
      <c r="I48" s="272">
        <v>16035.96</v>
      </c>
      <c r="J48" s="272">
        <v>59196383.850000001</v>
      </c>
      <c r="K48" s="272">
        <v>148921.26999999999</v>
      </c>
      <c r="L48" s="272">
        <v>0</v>
      </c>
      <c r="M48" s="272">
        <v>0</v>
      </c>
      <c r="N48" s="273">
        <v>2849283</v>
      </c>
      <c r="O48" s="273">
        <v>5918.4</v>
      </c>
      <c r="P48" s="272">
        <v>169478627.49000001</v>
      </c>
      <c r="Q48" s="272">
        <v>164957.23000000001</v>
      </c>
      <c r="R48" s="274">
        <v>196959262.63</v>
      </c>
      <c r="S48" s="275">
        <v>215002.21</v>
      </c>
      <c r="T48" s="108">
        <v>196959262.63</v>
      </c>
      <c r="U48" s="108">
        <v>86677018.99000001</v>
      </c>
    </row>
    <row r="49" spans="1:21" ht="20.399999999999999" x14ac:dyDescent="0.3">
      <c r="A49" s="139" t="s">
        <v>447</v>
      </c>
      <c r="B49" s="139" t="s">
        <v>48</v>
      </c>
      <c r="C49" s="139"/>
      <c r="D49" s="139"/>
      <c r="E49" s="139"/>
      <c r="F49" s="272">
        <v>45530674.259999998</v>
      </c>
      <c r="G49" s="272">
        <v>75924</v>
      </c>
      <c r="H49" s="272">
        <v>258570810.02000001</v>
      </c>
      <c r="I49" s="272">
        <v>41533.81</v>
      </c>
      <c r="J49" s="272">
        <v>178297061.84</v>
      </c>
      <c r="K49" s="272">
        <v>447819.35</v>
      </c>
      <c r="L49" s="272">
        <v>0</v>
      </c>
      <c r="M49" s="272">
        <v>0</v>
      </c>
      <c r="N49" s="273">
        <v>29330105.559999999</v>
      </c>
      <c r="O49" s="273">
        <v>62610.49</v>
      </c>
      <c r="P49" s="272">
        <v>436867871.86000001</v>
      </c>
      <c r="Q49" s="272">
        <v>489353.16</v>
      </c>
      <c r="R49" s="274">
        <v>482398546.12</v>
      </c>
      <c r="S49" s="275">
        <v>565277.42000000004</v>
      </c>
      <c r="T49" s="108">
        <v>482398546.12</v>
      </c>
      <c r="U49" s="108">
        <v>223827736.09999999</v>
      </c>
    </row>
    <row r="50" spans="1:21" ht="20.399999999999999" x14ac:dyDescent="0.3">
      <c r="A50" s="139" t="s">
        <v>447</v>
      </c>
      <c r="B50" s="139" t="s">
        <v>49</v>
      </c>
      <c r="C50" s="139"/>
      <c r="D50" s="139"/>
      <c r="E50" s="139"/>
      <c r="F50" s="272">
        <v>13624092</v>
      </c>
      <c r="G50" s="272">
        <v>34796</v>
      </c>
      <c r="H50" s="272">
        <v>51609507</v>
      </c>
      <c r="I50" s="272">
        <v>0</v>
      </c>
      <c r="J50" s="272">
        <v>50707181</v>
      </c>
      <c r="K50" s="272">
        <v>61694.21</v>
      </c>
      <c r="L50" s="272">
        <v>0</v>
      </c>
      <c r="M50" s="272">
        <v>0</v>
      </c>
      <c r="N50" s="273">
        <v>5163181</v>
      </c>
      <c r="O50" s="273">
        <v>15783</v>
      </c>
      <c r="P50" s="272">
        <v>102316688</v>
      </c>
      <c r="Q50" s="272">
        <v>61694.21</v>
      </c>
      <c r="R50" s="274">
        <v>115940780</v>
      </c>
      <c r="S50" s="275">
        <v>96490.21</v>
      </c>
      <c r="T50" s="108">
        <v>115940780</v>
      </c>
      <c r="U50" s="108">
        <v>64331273</v>
      </c>
    </row>
    <row r="51" spans="1:21" ht="20.399999999999999" x14ac:dyDescent="0.3">
      <c r="A51" s="139" t="s">
        <v>447</v>
      </c>
      <c r="B51" s="139" t="s">
        <v>50</v>
      </c>
      <c r="C51" s="139"/>
      <c r="D51" s="139"/>
      <c r="E51" s="139"/>
      <c r="F51" s="272">
        <v>199562514.25999999</v>
      </c>
      <c r="G51" s="272">
        <v>396925</v>
      </c>
      <c r="H51" s="272">
        <v>750012566.38</v>
      </c>
      <c r="I51" s="272">
        <v>181933.94</v>
      </c>
      <c r="J51" s="272">
        <v>593521151.40999997</v>
      </c>
      <c r="K51" s="272">
        <v>1524680.94</v>
      </c>
      <c r="L51" s="272">
        <v>4447403.88</v>
      </c>
      <c r="M51" s="272">
        <v>8578.57</v>
      </c>
      <c r="N51" s="273">
        <v>117050989</v>
      </c>
      <c r="O51" s="273">
        <v>231635</v>
      </c>
      <c r="P51" s="272">
        <v>1347981121.6700001</v>
      </c>
      <c r="Q51" s="272">
        <v>1715193.45</v>
      </c>
      <c r="R51" s="274">
        <v>1547543635.9300001</v>
      </c>
      <c r="S51" s="275">
        <v>2112118.5299999998</v>
      </c>
      <c r="T51" s="108">
        <v>1543096232.05</v>
      </c>
      <c r="U51" s="108">
        <v>793083665.66999996</v>
      </c>
    </row>
    <row r="52" spans="1:21" x14ac:dyDescent="0.3">
      <c r="A52" s="139" t="s">
        <v>447</v>
      </c>
      <c r="B52" s="139" t="s">
        <v>51</v>
      </c>
      <c r="C52" s="139"/>
      <c r="D52" s="139"/>
      <c r="E52" s="139"/>
      <c r="F52" s="272">
        <v>37582777.5</v>
      </c>
      <c r="G52" s="272">
        <v>70650</v>
      </c>
      <c r="H52" s="272">
        <v>117466613.44</v>
      </c>
      <c r="I52" s="272">
        <v>27469.53</v>
      </c>
      <c r="J52" s="272">
        <v>89339545.299999997</v>
      </c>
      <c r="K52" s="272">
        <v>203879.72</v>
      </c>
      <c r="L52" s="272">
        <v>3134543.98</v>
      </c>
      <c r="M52" s="272">
        <v>5789.36</v>
      </c>
      <c r="N52" s="273">
        <v>46742885.719999999</v>
      </c>
      <c r="O52" s="273">
        <v>43117.86</v>
      </c>
      <c r="P52" s="272">
        <v>209940702.72</v>
      </c>
      <c r="Q52" s="272">
        <v>237138.61</v>
      </c>
      <c r="R52" s="274">
        <v>247523480.22</v>
      </c>
      <c r="S52" s="275">
        <v>307788.63</v>
      </c>
      <c r="T52" s="108">
        <v>244388936.24000001</v>
      </c>
      <c r="U52" s="108">
        <v>126922322.8</v>
      </c>
    </row>
    <row r="53" spans="1:21" ht="20.399999999999999" x14ac:dyDescent="0.3">
      <c r="A53" s="139" t="s">
        <v>447</v>
      </c>
      <c r="B53" s="139" t="s">
        <v>52</v>
      </c>
      <c r="C53" s="139"/>
      <c r="D53" s="139"/>
      <c r="E53" s="139"/>
      <c r="F53" s="272">
        <v>42657306</v>
      </c>
      <c r="G53" s="272">
        <v>75668</v>
      </c>
      <c r="H53" s="272">
        <v>151684388</v>
      </c>
      <c r="I53" s="272">
        <v>61764</v>
      </c>
      <c r="J53" s="272">
        <v>105779745</v>
      </c>
      <c r="K53" s="272">
        <v>293102</v>
      </c>
      <c r="L53" s="272">
        <v>3101125</v>
      </c>
      <c r="M53" s="272">
        <v>5729</v>
      </c>
      <c r="N53" s="273">
        <v>42926384</v>
      </c>
      <c r="O53" s="273">
        <v>111749</v>
      </c>
      <c r="P53" s="272">
        <v>260565258</v>
      </c>
      <c r="Q53" s="272">
        <v>360595</v>
      </c>
      <c r="R53" s="274">
        <v>303222564</v>
      </c>
      <c r="S53" s="275">
        <v>436263</v>
      </c>
      <c r="T53" s="108">
        <v>300121439</v>
      </c>
      <c r="U53" s="108">
        <v>148437051</v>
      </c>
    </row>
    <row r="54" spans="1:21" ht="20.399999999999999" x14ac:dyDescent="0.3">
      <c r="A54" s="139" t="s">
        <v>447</v>
      </c>
      <c r="B54" s="139" t="s">
        <v>53</v>
      </c>
      <c r="C54" s="139"/>
      <c r="D54" s="139"/>
      <c r="E54" s="139"/>
      <c r="F54" s="272">
        <v>134435450</v>
      </c>
      <c r="G54" s="272">
        <v>228900</v>
      </c>
      <c r="H54" s="272">
        <v>633383354</v>
      </c>
      <c r="I54" s="272">
        <v>256359</v>
      </c>
      <c r="J54" s="272">
        <v>261438191</v>
      </c>
      <c r="K54" s="272">
        <v>685710</v>
      </c>
      <c r="L54" s="272">
        <v>7037828</v>
      </c>
      <c r="M54" s="272">
        <v>12794</v>
      </c>
      <c r="N54" s="273">
        <v>67594546</v>
      </c>
      <c r="O54" s="273">
        <v>149891</v>
      </c>
      <c r="P54" s="272">
        <v>901859373</v>
      </c>
      <c r="Q54" s="272">
        <v>954863</v>
      </c>
      <c r="R54" s="274">
        <v>1036294823</v>
      </c>
      <c r="S54" s="275">
        <v>1183763</v>
      </c>
      <c r="T54" s="108">
        <v>1029256995</v>
      </c>
      <c r="U54" s="108">
        <v>395873641</v>
      </c>
    </row>
    <row r="55" spans="1:21" ht="20.399999999999999" x14ac:dyDescent="0.3">
      <c r="A55" s="139" t="s">
        <v>447</v>
      </c>
      <c r="B55" s="139" t="s">
        <v>54</v>
      </c>
      <c r="C55" s="139"/>
      <c r="D55" s="139"/>
      <c r="E55" s="139"/>
      <c r="F55" s="272">
        <v>22393970</v>
      </c>
      <c r="G55" s="272">
        <v>29784</v>
      </c>
      <c r="H55" s="272">
        <v>113931089.02</v>
      </c>
      <c r="I55" s="272">
        <v>40369.410000000003</v>
      </c>
      <c r="J55" s="272">
        <v>41609122</v>
      </c>
      <c r="K55" s="272">
        <v>152669.37</v>
      </c>
      <c r="L55" s="272">
        <v>0</v>
      </c>
      <c r="M55" s="272">
        <v>0</v>
      </c>
      <c r="N55" s="273">
        <v>0</v>
      </c>
      <c r="O55" s="273">
        <v>0</v>
      </c>
      <c r="P55" s="272">
        <v>155540211.02000001</v>
      </c>
      <c r="Q55" s="272">
        <v>193038.78</v>
      </c>
      <c r="R55" s="274">
        <v>177934181.02000001</v>
      </c>
      <c r="S55" s="275">
        <v>222823.18</v>
      </c>
      <c r="T55" s="108">
        <v>177934181.01999998</v>
      </c>
      <c r="U55" s="108">
        <v>64003092</v>
      </c>
    </row>
    <row r="56" spans="1:21" ht="30.6" x14ac:dyDescent="0.3">
      <c r="A56" s="139" t="s">
        <v>447</v>
      </c>
      <c r="B56" s="139" t="s">
        <v>55</v>
      </c>
      <c r="C56" s="139"/>
      <c r="D56" s="139"/>
      <c r="E56" s="139"/>
      <c r="F56" s="272">
        <v>134391196</v>
      </c>
      <c r="G56" s="272">
        <v>287869</v>
      </c>
      <c r="H56" s="272">
        <v>431934965</v>
      </c>
      <c r="I56" s="272">
        <v>102367</v>
      </c>
      <c r="J56" s="272">
        <v>195336597</v>
      </c>
      <c r="K56" s="272">
        <v>520693</v>
      </c>
      <c r="L56" s="272">
        <v>0</v>
      </c>
      <c r="M56" s="272">
        <v>5698</v>
      </c>
      <c r="N56" s="273">
        <v>112820304</v>
      </c>
      <c r="O56" s="273">
        <v>202403</v>
      </c>
      <c r="P56" s="272">
        <v>627271562</v>
      </c>
      <c r="Q56" s="272">
        <v>628758</v>
      </c>
      <c r="R56" s="274">
        <v>761662758</v>
      </c>
      <c r="S56" s="275">
        <v>916627</v>
      </c>
      <c r="T56" s="108">
        <v>761662758</v>
      </c>
      <c r="U56" s="108">
        <v>329727793</v>
      </c>
    </row>
    <row r="57" spans="1:21" x14ac:dyDescent="0.3">
      <c r="A57" s="139" t="s">
        <v>447</v>
      </c>
      <c r="B57" s="139" t="s">
        <v>56</v>
      </c>
      <c r="C57" s="139"/>
      <c r="D57" s="139"/>
      <c r="E57" s="139"/>
      <c r="F57" s="272">
        <v>68328727.819999993</v>
      </c>
      <c r="G57" s="272">
        <v>94384</v>
      </c>
      <c r="H57" s="272">
        <v>391333852.5</v>
      </c>
      <c r="I57" s="272">
        <v>125818.98</v>
      </c>
      <c r="J57" s="272">
        <v>162879933.00999999</v>
      </c>
      <c r="K57" s="272">
        <v>398210.38</v>
      </c>
      <c r="L57" s="272">
        <v>0</v>
      </c>
      <c r="M57" s="272">
        <v>0</v>
      </c>
      <c r="N57" s="273">
        <v>13841829</v>
      </c>
      <c r="O57" s="273">
        <v>24617</v>
      </c>
      <c r="P57" s="272">
        <v>554213785.50999999</v>
      </c>
      <c r="Q57" s="272">
        <v>524029.36</v>
      </c>
      <c r="R57" s="274">
        <v>622542513.33000004</v>
      </c>
      <c r="S57" s="275">
        <v>618413.44999999995</v>
      </c>
      <c r="T57" s="108">
        <v>622542513.32999992</v>
      </c>
      <c r="U57" s="108">
        <v>231208660.82999998</v>
      </c>
    </row>
    <row r="58" spans="1:21" x14ac:dyDescent="0.3">
      <c r="A58" s="139" t="s">
        <v>447</v>
      </c>
      <c r="B58" s="139" t="s">
        <v>57</v>
      </c>
      <c r="C58" s="139"/>
      <c r="D58" s="139"/>
      <c r="E58" s="139"/>
      <c r="F58" s="272">
        <v>7962918</v>
      </c>
      <c r="G58" s="272">
        <v>11075</v>
      </c>
      <c r="H58" s="272">
        <v>40532948</v>
      </c>
      <c r="I58" s="272">
        <v>0</v>
      </c>
      <c r="J58" s="272">
        <v>36668859</v>
      </c>
      <c r="K58" s="272">
        <v>106335</v>
      </c>
      <c r="L58" s="272">
        <v>0</v>
      </c>
      <c r="M58" s="272">
        <v>0</v>
      </c>
      <c r="N58" s="273">
        <v>6097514.3399999999</v>
      </c>
      <c r="O58" s="273">
        <v>11612.5</v>
      </c>
      <c r="P58" s="272">
        <v>77201807</v>
      </c>
      <c r="Q58" s="272">
        <v>106335</v>
      </c>
      <c r="R58" s="274">
        <v>85164725</v>
      </c>
      <c r="S58" s="275">
        <v>117410</v>
      </c>
      <c r="T58" s="108">
        <v>85164725</v>
      </c>
      <c r="U58" s="108">
        <v>44631777</v>
      </c>
    </row>
    <row r="59" spans="1:21" ht="20.399999999999999" x14ac:dyDescent="0.3">
      <c r="A59" s="139" t="s">
        <v>447</v>
      </c>
      <c r="B59" s="139" t="s">
        <v>58</v>
      </c>
      <c r="C59" s="139"/>
      <c r="D59" s="139"/>
      <c r="E59" s="139"/>
      <c r="F59" s="272">
        <v>8271777</v>
      </c>
      <c r="G59" s="272">
        <v>11849</v>
      </c>
      <c r="H59" s="272">
        <v>57793632</v>
      </c>
      <c r="I59" s="272">
        <v>6443.02</v>
      </c>
      <c r="J59" s="272">
        <v>32772900</v>
      </c>
      <c r="K59" s="272">
        <v>95654.09</v>
      </c>
      <c r="L59" s="272">
        <v>0</v>
      </c>
      <c r="M59" s="272">
        <v>0</v>
      </c>
      <c r="N59" s="273">
        <v>2193596</v>
      </c>
      <c r="O59" s="273">
        <v>7375.6</v>
      </c>
      <c r="P59" s="272">
        <v>90566532</v>
      </c>
      <c r="Q59" s="272">
        <v>102097.11</v>
      </c>
      <c r="R59" s="274">
        <v>98838309</v>
      </c>
      <c r="S59" s="275">
        <v>113946.93</v>
      </c>
      <c r="T59" s="108">
        <v>98838309</v>
      </c>
      <c r="U59" s="108">
        <v>41044677</v>
      </c>
    </row>
    <row r="60" spans="1:21" x14ac:dyDescent="0.3">
      <c r="A60" s="139" t="s">
        <v>447</v>
      </c>
      <c r="B60" s="139" t="s">
        <v>59</v>
      </c>
      <c r="C60" s="139"/>
      <c r="D60" s="139"/>
      <c r="E60" s="139"/>
      <c r="F60" s="272">
        <v>8357674.8600000003</v>
      </c>
      <c r="G60" s="272">
        <v>0</v>
      </c>
      <c r="H60" s="272">
        <v>49069036.509999998</v>
      </c>
      <c r="I60" s="272">
        <v>12717.37</v>
      </c>
      <c r="J60" s="272">
        <v>16606348.609999999</v>
      </c>
      <c r="K60" s="272">
        <v>50073.69</v>
      </c>
      <c r="L60" s="272">
        <v>0</v>
      </c>
      <c r="M60" s="272">
        <v>0</v>
      </c>
      <c r="N60" s="273">
        <v>0</v>
      </c>
      <c r="O60" s="273">
        <v>0</v>
      </c>
      <c r="P60" s="272">
        <v>65675385.119999997</v>
      </c>
      <c r="Q60" s="272">
        <v>62791.06</v>
      </c>
      <c r="R60" s="274">
        <v>74033059.980000004</v>
      </c>
      <c r="S60" s="275">
        <v>62791.06</v>
      </c>
      <c r="T60" s="108">
        <v>74033059.979999989</v>
      </c>
      <c r="U60" s="108">
        <v>24964023.469999999</v>
      </c>
    </row>
    <row r="61" spans="1:21" ht="30.6" x14ac:dyDescent="0.3">
      <c r="A61" s="139" t="s">
        <v>447</v>
      </c>
      <c r="B61" s="139" t="s">
        <v>61</v>
      </c>
      <c r="C61" s="139"/>
      <c r="D61" s="139"/>
      <c r="E61" s="139"/>
      <c r="F61" s="272">
        <v>102344002</v>
      </c>
      <c r="G61" s="272">
        <v>208552</v>
      </c>
      <c r="H61" s="272">
        <v>500532638</v>
      </c>
      <c r="I61" s="272">
        <v>182825</v>
      </c>
      <c r="J61" s="272">
        <v>285232196</v>
      </c>
      <c r="K61" s="272">
        <v>805578</v>
      </c>
      <c r="L61" s="272">
        <v>0</v>
      </c>
      <c r="M61" s="272">
        <v>0</v>
      </c>
      <c r="N61" s="273">
        <v>85869306</v>
      </c>
      <c r="O61" s="273">
        <v>236694</v>
      </c>
      <c r="P61" s="272">
        <v>785764834</v>
      </c>
      <c r="Q61" s="272">
        <v>988403</v>
      </c>
      <c r="R61" s="274">
        <v>888108836</v>
      </c>
      <c r="S61" s="275">
        <v>1196955</v>
      </c>
      <c r="T61" s="108">
        <v>888108836</v>
      </c>
      <c r="U61" s="108">
        <v>387576198</v>
      </c>
    </row>
    <row r="62" spans="1:21" x14ac:dyDescent="0.3">
      <c r="A62" s="139" t="s">
        <v>447</v>
      </c>
      <c r="B62" s="139" t="s">
        <v>62</v>
      </c>
      <c r="C62" s="139"/>
      <c r="D62" s="139"/>
      <c r="E62" s="139"/>
      <c r="F62" s="272">
        <v>47401197.270000003</v>
      </c>
      <c r="G62" s="272">
        <v>99170</v>
      </c>
      <c r="H62" s="272">
        <v>91370321.400000006</v>
      </c>
      <c r="I62" s="272">
        <v>180162.14</v>
      </c>
      <c r="J62" s="272">
        <v>44870438.420000002</v>
      </c>
      <c r="K62" s="272">
        <v>301517.93</v>
      </c>
      <c r="L62" s="272">
        <v>0</v>
      </c>
      <c r="M62" s="272">
        <v>0</v>
      </c>
      <c r="N62" s="273">
        <v>48585894</v>
      </c>
      <c r="O62" s="273">
        <v>108682.9</v>
      </c>
      <c r="P62" s="272">
        <v>136240759.81999999</v>
      </c>
      <c r="Q62" s="272">
        <v>481680.07</v>
      </c>
      <c r="R62" s="274">
        <v>183641957.09</v>
      </c>
      <c r="S62" s="275">
        <v>580850.74</v>
      </c>
      <c r="T62" s="108">
        <v>183641957.09000003</v>
      </c>
      <c r="U62" s="108">
        <v>92271635.689999998</v>
      </c>
    </row>
    <row r="63" spans="1:21" ht="20.399999999999999" x14ac:dyDescent="0.3">
      <c r="A63" s="139" t="s">
        <v>447</v>
      </c>
      <c r="B63" s="139" t="s">
        <v>63</v>
      </c>
      <c r="C63" s="139"/>
      <c r="D63" s="139"/>
      <c r="E63" s="139"/>
      <c r="F63" s="272">
        <v>2716005307.6086302</v>
      </c>
      <c r="G63" s="272">
        <v>5227202</v>
      </c>
      <c r="H63" s="272">
        <v>9761714371</v>
      </c>
      <c r="I63" s="272">
        <v>7467371</v>
      </c>
      <c r="J63" s="272">
        <v>11113172094</v>
      </c>
      <c r="K63" s="272">
        <v>26791726</v>
      </c>
      <c r="L63" s="272">
        <v>330749827</v>
      </c>
      <c r="M63" s="272">
        <v>609405</v>
      </c>
      <c r="N63" s="273">
        <v>3698003210</v>
      </c>
      <c r="O63" s="273">
        <v>7128105</v>
      </c>
      <c r="P63" s="272">
        <v>21205636292</v>
      </c>
      <c r="Q63" s="272">
        <v>34868502</v>
      </c>
      <c r="R63" s="274">
        <v>23921641599.608601</v>
      </c>
      <c r="S63" s="275">
        <v>40095704.229800001</v>
      </c>
      <c r="T63" s="108">
        <v>23590891772.608631</v>
      </c>
      <c r="U63" s="108">
        <v>13829177401.608631</v>
      </c>
    </row>
    <row r="64" spans="1:21" x14ac:dyDescent="0.3">
      <c r="A64" s="139" t="s">
        <v>447</v>
      </c>
      <c r="B64" s="139" t="s">
        <v>64</v>
      </c>
      <c r="C64" s="139"/>
      <c r="D64" s="139"/>
      <c r="E64" s="139"/>
      <c r="F64" s="272">
        <v>5949165</v>
      </c>
      <c r="G64" s="272">
        <v>7692</v>
      </c>
      <c r="H64" s="272">
        <v>102876476</v>
      </c>
      <c r="I64" s="272">
        <v>0</v>
      </c>
      <c r="J64" s="272">
        <v>13049895</v>
      </c>
      <c r="K64" s="272">
        <v>43991</v>
      </c>
      <c r="L64" s="272">
        <v>2803203</v>
      </c>
      <c r="M64" s="272">
        <v>5557.58</v>
      </c>
      <c r="N64" s="273">
        <v>0</v>
      </c>
      <c r="O64" s="273">
        <v>0</v>
      </c>
      <c r="P64" s="272">
        <v>118729574</v>
      </c>
      <c r="Q64" s="272">
        <v>49548.58</v>
      </c>
      <c r="R64" s="274">
        <v>124678739</v>
      </c>
      <c r="S64" s="275">
        <v>57241.279999999999</v>
      </c>
      <c r="T64" s="108">
        <v>121875536</v>
      </c>
      <c r="U64" s="108">
        <v>18999060</v>
      </c>
    </row>
    <row r="65" spans="1:21" ht="20.399999999999999" x14ac:dyDescent="0.3">
      <c r="A65" s="139" t="s">
        <v>447</v>
      </c>
      <c r="B65" s="139" t="s">
        <v>65</v>
      </c>
      <c r="C65" s="139"/>
      <c r="D65" s="139"/>
      <c r="E65" s="139"/>
      <c r="F65" s="272">
        <v>160419170</v>
      </c>
      <c r="G65" s="272">
        <v>0</v>
      </c>
      <c r="H65" s="272">
        <v>622290344</v>
      </c>
      <c r="I65" s="272">
        <v>226725</v>
      </c>
      <c r="J65" s="272">
        <v>613994469</v>
      </c>
      <c r="K65" s="272">
        <v>1806390</v>
      </c>
      <c r="L65" s="272">
        <v>6231611</v>
      </c>
      <c r="M65" s="272">
        <v>0</v>
      </c>
      <c r="N65" s="273">
        <v>196274835</v>
      </c>
      <c r="O65" s="273">
        <v>0</v>
      </c>
      <c r="P65" s="272">
        <v>1242516424</v>
      </c>
      <c r="Q65" s="272">
        <v>2033115</v>
      </c>
      <c r="R65" s="274">
        <v>1402935594</v>
      </c>
      <c r="S65" s="275">
        <v>2033115</v>
      </c>
      <c r="T65" s="108">
        <v>1396703983</v>
      </c>
      <c r="U65" s="108">
        <v>774413639</v>
      </c>
    </row>
    <row r="66" spans="1:21" ht="20.399999999999999" x14ac:dyDescent="0.3">
      <c r="A66" s="139" t="s">
        <v>447</v>
      </c>
      <c r="B66" s="139" t="s">
        <v>66</v>
      </c>
      <c r="C66" s="139"/>
      <c r="D66" s="139"/>
      <c r="E66" s="139"/>
      <c r="F66" s="272">
        <v>21700736</v>
      </c>
      <c r="G66" s="272">
        <v>21361</v>
      </c>
      <c r="H66" s="272">
        <v>206509127</v>
      </c>
      <c r="I66" s="272">
        <v>39819</v>
      </c>
      <c r="J66" s="272">
        <v>122493159</v>
      </c>
      <c r="K66" s="272">
        <v>336940</v>
      </c>
      <c r="L66" s="272">
        <v>3013780</v>
      </c>
      <c r="M66" s="272">
        <v>5518</v>
      </c>
      <c r="N66" s="273">
        <v>14542159</v>
      </c>
      <c r="O66" s="273">
        <v>61045</v>
      </c>
      <c r="P66" s="272">
        <v>332016066</v>
      </c>
      <c r="Q66" s="272">
        <v>382277</v>
      </c>
      <c r="R66" s="274">
        <v>353716802</v>
      </c>
      <c r="S66" s="275">
        <v>403638</v>
      </c>
      <c r="T66" s="108">
        <v>350703022</v>
      </c>
      <c r="U66" s="108">
        <v>144193895</v>
      </c>
    </row>
    <row r="67" spans="1:21" ht="20.399999999999999" x14ac:dyDescent="0.3">
      <c r="A67" s="139" t="s">
        <v>447</v>
      </c>
      <c r="B67" s="139" t="s">
        <v>67</v>
      </c>
      <c r="C67" s="139"/>
      <c r="D67" s="139"/>
      <c r="E67" s="139"/>
      <c r="F67" s="272">
        <v>32532737</v>
      </c>
      <c r="G67" s="272">
        <v>61566</v>
      </c>
      <c r="H67" s="272">
        <v>32600314</v>
      </c>
      <c r="I67" s="272">
        <v>1329</v>
      </c>
      <c r="J67" s="272">
        <v>35644424</v>
      </c>
      <c r="K67" s="272">
        <v>91077</v>
      </c>
      <c r="L67" s="272">
        <v>0</v>
      </c>
      <c r="M67" s="272">
        <v>0</v>
      </c>
      <c r="N67" s="273">
        <v>11318188.359999999</v>
      </c>
      <c r="O67" s="273">
        <v>19738.8</v>
      </c>
      <c r="P67" s="272">
        <v>68244738</v>
      </c>
      <c r="Q67" s="272">
        <v>92406</v>
      </c>
      <c r="R67" s="274">
        <v>100777475</v>
      </c>
      <c r="S67" s="275">
        <v>153972</v>
      </c>
      <c r="T67" s="108">
        <v>100777475</v>
      </c>
      <c r="U67" s="108">
        <v>68177161</v>
      </c>
    </row>
    <row r="68" spans="1:21" x14ac:dyDescent="0.3">
      <c r="A68" s="139" t="s">
        <v>447</v>
      </c>
      <c r="B68" s="139" t="s">
        <v>68</v>
      </c>
      <c r="C68" s="139"/>
      <c r="D68" s="139"/>
      <c r="E68" s="139"/>
      <c r="F68" s="272">
        <v>87932552.5</v>
      </c>
      <c r="G68" s="272">
        <v>158356</v>
      </c>
      <c r="H68" s="272">
        <v>229816799</v>
      </c>
      <c r="I68" s="272">
        <v>25979</v>
      </c>
      <c r="J68" s="272">
        <v>98535155</v>
      </c>
      <c r="K68" s="272">
        <v>262152</v>
      </c>
      <c r="L68" s="272">
        <v>1827725</v>
      </c>
      <c r="M68" s="272">
        <v>4899</v>
      </c>
      <c r="N68" s="273">
        <v>36676918</v>
      </c>
      <c r="O68" s="273">
        <v>75716</v>
      </c>
      <c r="P68" s="272">
        <v>330179679</v>
      </c>
      <c r="Q68" s="272">
        <v>293030</v>
      </c>
      <c r="R68" s="274">
        <v>418112231.5</v>
      </c>
      <c r="S68" s="275">
        <v>451386.9</v>
      </c>
      <c r="T68" s="108">
        <v>416284506.5</v>
      </c>
      <c r="U68" s="108">
        <v>186467707.5</v>
      </c>
    </row>
    <row r="69" spans="1:21" x14ac:dyDescent="0.3">
      <c r="A69" s="107" t="s">
        <v>450</v>
      </c>
      <c r="T69" s="108"/>
      <c r="U69" s="108"/>
    </row>
  </sheetData>
  <sheetProtection algorithmName="SHA-512" hashValue="/5HRkB8a9Wx82I1khXtIFSkADJe6/5hcXrQ24iP9zR8AzGAu67lLuNo7G/3a5e0HrfVW67kJ05lmHbXU8nUPSg==" saltValue="UqbX8Benonw6N6cP8/qo6Q==" spinCount="100000" sheet="1" objects="1" scenarios="1"/>
  <mergeCells count="2">
    <mergeCell ref="A1:H1"/>
    <mergeCell ref="A2:H2"/>
  </mergeCells>
  <pageMargins left="0.75" right="0.7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U69"/>
  <sheetViews>
    <sheetView topLeftCell="O1" workbookViewId="0">
      <selection activeCell="T3" sqref="T3:U4"/>
    </sheetView>
  </sheetViews>
  <sheetFormatPr defaultColWidth="8.88671875" defaultRowHeight="14.4" x14ac:dyDescent="0.3"/>
  <cols>
    <col min="1" max="1" width="9" customWidth="1"/>
    <col min="2" max="5" width="18.88671875" customWidth="1"/>
    <col min="6" max="6" width="26" customWidth="1"/>
    <col min="7" max="7" width="25.33203125" customWidth="1"/>
    <col min="8" max="8" width="17.88671875" customWidth="1"/>
    <col min="9" max="9" width="17" customWidth="1"/>
    <col min="10" max="10" width="20.5546875" customWidth="1"/>
    <col min="11" max="11" width="19.88671875" customWidth="1"/>
    <col min="12" max="12" width="15" customWidth="1"/>
    <col min="13" max="13" width="14.33203125" customWidth="1"/>
    <col min="14" max="14" width="21.33203125" customWidth="1"/>
    <col min="15" max="15" width="20.5546875" customWidth="1"/>
    <col min="16" max="16" width="22" customWidth="1"/>
    <col min="17" max="17" width="21.33203125" customWidth="1"/>
    <col min="18" max="18" width="18.5546875" customWidth="1"/>
    <col min="19" max="19" width="17.5546875" customWidth="1"/>
    <col min="20" max="21" width="21.88671875" customWidth="1"/>
  </cols>
  <sheetData>
    <row r="1" spans="1:21" x14ac:dyDescent="0.3">
      <c r="A1" s="383" t="s">
        <v>451</v>
      </c>
      <c r="B1" s="383"/>
      <c r="C1" s="383"/>
      <c r="D1" s="383"/>
      <c r="E1" s="383"/>
      <c r="F1" s="383"/>
      <c r="G1" s="383"/>
      <c r="H1" s="383"/>
    </row>
    <row r="2" spans="1:21" x14ac:dyDescent="0.3">
      <c r="A2" s="384" t="s">
        <v>452</v>
      </c>
      <c r="B2" s="384"/>
      <c r="C2" s="384"/>
      <c r="D2" s="384"/>
      <c r="E2" s="384"/>
      <c r="F2" s="384"/>
      <c r="G2" s="384"/>
      <c r="H2" s="384"/>
    </row>
    <row r="3" spans="1:21" x14ac:dyDescent="0.3">
      <c r="A3" s="107" t="s">
        <v>450</v>
      </c>
      <c r="T3" t="s">
        <v>428</v>
      </c>
      <c r="U3" t="s">
        <v>429</v>
      </c>
    </row>
    <row r="4" spans="1:21" x14ac:dyDescent="0.3">
      <c r="A4" s="271" t="s">
        <v>430</v>
      </c>
      <c r="B4" s="271" t="s">
        <v>431</v>
      </c>
      <c r="C4" s="271"/>
      <c r="D4" s="271"/>
      <c r="E4" s="271"/>
      <c r="F4" s="271" t="s">
        <v>432</v>
      </c>
      <c r="G4" s="271" t="s">
        <v>433</v>
      </c>
      <c r="H4" s="271" t="s">
        <v>434</v>
      </c>
      <c r="I4" s="271" t="s">
        <v>435</v>
      </c>
      <c r="J4" s="271" t="s">
        <v>436</v>
      </c>
      <c r="K4" s="271" t="s">
        <v>437</v>
      </c>
      <c r="L4" s="271" t="s">
        <v>438</v>
      </c>
      <c r="M4" s="271" t="s">
        <v>439</v>
      </c>
      <c r="N4" s="271" t="s">
        <v>440</v>
      </c>
      <c r="O4" s="271" t="s">
        <v>441</v>
      </c>
      <c r="P4" s="271" t="s">
        <v>442</v>
      </c>
      <c r="Q4" s="271" t="s">
        <v>443</v>
      </c>
      <c r="R4" s="271" t="s">
        <v>444</v>
      </c>
      <c r="S4" s="169" t="s">
        <v>445</v>
      </c>
      <c r="T4" s="109" t="s">
        <v>446</v>
      </c>
      <c r="U4" s="109" t="s">
        <v>81</v>
      </c>
    </row>
    <row r="5" spans="1:21" ht="20.399999999999999" x14ac:dyDescent="0.3">
      <c r="A5" s="139" t="s">
        <v>453</v>
      </c>
      <c r="B5" s="139" t="s">
        <v>6</v>
      </c>
      <c r="C5" s="139"/>
      <c r="D5" s="139"/>
      <c r="E5" s="139"/>
      <c r="F5" s="272">
        <v>2643543563</v>
      </c>
      <c r="G5" s="272">
        <v>5306056</v>
      </c>
      <c r="H5" s="272">
        <v>10538278650</v>
      </c>
      <c r="I5" s="272">
        <v>3342107</v>
      </c>
      <c r="J5" s="272">
        <v>11355078515</v>
      </c>
      <c r="K5" s="272">
        <v>27494395</v>
      </c>
      <c r="L5" s="272">
        <v>902662836</v>
      </c>
      <c r="M5" s="272">
        <v>1504000</v>
      </c>
      <c r="N5" s="276">
        <v>5208559700</v>
      </c>
      <c r="O5" s="276">
        <v>10695302</v>
      </c>
      <c r="P5" s="272">
        <v>22796020001</v>
      </c>
      <c r="Q5" s="272">
        <v>32340502</v>
      </c>
      <c r="R5" s="274">
        <v>25439563564</v>
      </c>
      <c r="S5" s="275">
        <v>37646558</v>
      </c>
      <c r="T5" s="108">
        <f>H5+J5+F5</f>
        <v>24536900728</v>
      </c>
      <c r="U5" s="108">
        <f>F5+J5</f>
        <v>13998622078</v>
      </c>
    </row>
    <row r="6" spans="1:21" x14ac:dyDescent="0.3">
      <c r="A6" s="139" t="s">
        <v>453</v>
      </c>
      <c r="B6" s="140" t="s">
        <v>7</v>
      </c>
      <c r="C6" s="140"/>
      <c r="D6" s="140"/>
      <c r="E6" s="140"/>
      <c r="F6" s="272">
        <v>139512542.19999999</v>
      </c>
      <c r="G6" s="272">
        <v>265010</v>
      </c>
      <c r="H6" s="272">
        <v>532946021.62</v>
      </c>
      <c r="I6" s="272">
        <v>117294.49</v>
      </c>
      <c r="J6" s="272">
        <v>999441906.29999995</v>
      </c>
      <c r="K6" s="272">
        <v>2281720.5299999998</v>
      </c>
      <c r="L6" s="272">
        <v>6559026</v>
      </c>
      <c r="M6" s="272">
        <v>20552.63</v>
      </c>
      <c r="N6" s="276">
        <v>779216989.89999998</v>
      </c>
      <c r="O6" s="276">
        <v>1648782.32</v>
      </c>
      <c r="P6" s="272">
        <v>1538946953.9200001</v>
      </c>
      <c r="Q6" s="272">
        <v>2419567.65</v>
      </c>
      <c r="R6" s="274">
        <v>1678459496.1199999</v>
      </c>
      <c r="S6" s="275">
        <v>2684578.6</v>
      </c>
      <c r="T6" s="108">
        <f>H6+J6+F6</f>
        <v>1671900470.1200001</v>
      </c>
      <c r="U6" s="108">
        <f>F6+J6</f>
        <v>1138954448.5</v>
      </c>
    </row>
    <row r="7" spans="1:21" x14ac:dyDescent="0.3">
      <c r="A7" s="139" t="s">
        <v>453</v>
      </c>
      <c r="B7" s="139" t="s">
        <v>8</v>
      </c>
      <c r="C7" s="139"/>
      <c r="D7" s="139"/>
      <c r="E7" s="139"/>
      <c r="F7" s="272">
        <v>8104728.9846560396</v>
      </c>
      <c r="G7" s="272">
        <v>9879</v>
      </c>
      <c r="H7" s="272">
        <v>113771913.95748501</v>
      </c>
      <c r="I7" s="272">
        <v>9707.85</v>
      </c>
      <c r="J7" s="272">
        <v>102689132.133068</v>
      </c>
      <c r="K7" s="272">
        <v>215211.14</v>
      </c>
      <c r="L7" s="272">
        <v>0</v>
      </c>
      <c r="M7" s="272">
        <v>0</v>
      </c>
      <c r="N7" s="276">
        <v>73319688.890000001</v>
      </c>
      <c r="O7" s="276">
        <v>123205.79</v>
      </c>
      <c r="P7" s="272">
        <v>216461046.09055299</v>
      </c>
      <c r="Q7" s="272">
        <v>224918.99</v>
      </c>
      <c r="R7" s="274">
        <v>224565775.07520899</v>
      </c>
      <c r="S7" s="275">
        <v>234798.3</v>
      </c>
      <c r="T7" s="108">
        <f t="shared" ref="T7:T68" si="0">H7+J7+F7</f>
        <v>224565775.07520902</v>
      </c>
      <c r="U7" s="108">
        <f t="shared" ref="U7:U68" si="1">F7+J7</f>
        <v>110793861.11772403</v>
      </c>
    </row>
    <row r="8" spans="1:21" x14ac:dyDescent="0.3">
      <c r="A8" s="139" t="s">
        <v>453</v>
      </c>
      <c r="B8" s="139" t="s">
        <v>9</v>
      </c>
      <c r="C8" s="139"/>
      <c r="D8" s="139"/>
      <c r="E8" s="139"/>
      <c r="F8" s="272">
        <v>1122634.7</v>
      </c>
      <c r="G8" s="272">
        <v>2303</v>
      </c>
      <c r="H8" s="272">
        <v>13762612.42</v>
      </c>
      <c r="I8" s="272">
        <v>0</v>
      </c>
      <c r="J8" s="272">
        <v>15260256.6</v>
      </c>
      <c r="K8" s="272">
        <v>54782.51</v>
      </c>
      <c r="L8" s="272">
        <v>0</v>
      </c>
      <c r="M8" s="272">
        <v>0</v>
      </c>
      <c r="N8" s="276">
        <v>494323.58</v>
      </c>
      <c r="O8" s="276">
        <v>3072.48</v>
      </c>
      <c r="P8" s="272">
        <v>29022869.02</v>
      </c>
      <c r="Q8" s="272">
        <v>54782.51</v>
      </c>
      <c r="R8" s="274">
        <v>30145503.719999999</v>
      </c>
      <c r="S8" s="275">
        <v>57086.21</v>
      </c>
      <c r="T8" s="108">
        <f t="shared" si="0"/>
        <v>30145503.719999999</v>
      </c>
      <c r="U8" s="108">
        <f t="shared" si="1"/>
        <v>16382891.299999999</v>
      </c>
    </row>
    <row r="9" spans="1:21" ht="20.399999999999999" x14ac:dyDescent="0.3">
      <c r="A9" s="139" t="s">
        <v>453</v>
      </c>
      <c r="B9" s="139" t="s">
        <v>10</v>
      </c>
      <c r="C9" s="139"/>
      <c r="D9" s="139"/>
      <c r="E9" s="139"/>
      <c r="F9" s="272">
        <v>57766757</v>
      </c>
      <c r="G9" s="272">
        <v>104890</v>
      </c>
      <c r="H9" s="272">
        <v>382526578</v>
      </c>
      <c r="I9" s="272">
        <v>283664</v>
      </c>
      <c r="J9" s="272">
        <v>435190437</v>
      </c>
      <c r="K9" s="272">
        <v>738360</v>
      </c>
      <c r="L9" s="272">
        <v>115951909</v>
      </c>
      <c r="M9" s="272">
        <v>194303</v>
      </c>
      <c r="N9" s="276">
        <v>308027905</v>
      </c>
      <c r="O9" s="276">
        <v>562016</v>
      </c>
      <c r="P9" s="272">
        <v>933668924</v>
      </c>
      <c r="Q9" s="272">
        <v>1216327</v>
      </c>
      <c r="R9" s="274">
        <v>991435681</v>
      </c>
      <c r="S9" s="275">
        <v>1321217</v>
      </c>
      <c r="T9" s="108">
        <f t="shared" si="0"/>
        <v>875483772</v>
      </c>
      <c r="U9" s="108">
        <f t="shared" si="1"/>
        <v>492957194</v>
      </c>
    </row>
    <row r="10" spans="1:21" x14ac:dyDescent="0.3">
      <c r="A10" s="139" t="s">
        <v>453</v>
      </c>
      <c r="B10" s="139" t="s">
        <v>11</v>
      </c>
      <c r="C10" s="139"/>
      <c r="D10" s="139"/>
      <c r="E10" s="139"/>
      <c r="F10" s="272">
        <v>159763507.93000001</v>
      </c>
      <c r="G10" s="272">
        <v>333728</v>
      </c>
      <c r="H10" s="272">
        <v>411053419.08999997</v>
      </c>
      <c r="I10" s="272">
        <v>107364.83</v>
      </c>
      <c r="J10" s="272">
        <v>363693815.06</v>
      </c>
      <c r="K10" s="272">
        <v>1016899.08</v>
      </c>
      <c r="L10" s="272">
        <v>47558080</v>
      </c>
      <c r="M10" s="272">
        <v>107477.02</v>
      </c>
      <c r="N10" s="276">
        <v>186988209.28999999</v>
      </c>
      <c r="O10" s="276">
        <v>395519.8</v>
      </c>
      <c r="P10" s="272">
        <v>822305314.14999998</v>
      </c>
      <c r="Q10" s="272">
        <v>1231740.93</v>
      </c>
      <c r="R10" s="274">
        <v>982068822.08000004</v>
      </c>
      <c r="S10" s="275">
        <v>1565469</v>
      </c>
      <c r="T10" s="108">
        <f t="shared" si="0"/>
        <v>934510742.07999992</v>
      </c>
      <c r="U10" s="108">
        <f t="shared" si="1"/>
        <v>523457322.99000001</v>
      </c>
    </row>
    <row r="11" spans="1:21" x14ac:dyDescent="0.3">
      <c r="A11" s="139" t="s">
        <v>453</v>
      </c>
      <c r="B11" s="139" t="s">
        <v>12</v>
      </c>
      <c r="C11" s="139"/>
      <c r="D11" s="139"/>
      <c r="E11" s="139"/>
      <c r="F11" s="272">
        <v>161789062</v>
      </c>
      <c r="G11" s="272">
        <v>346060</v>
      </c>
      <c r="H11" s="272">
        <v>808942246</v>
      </c>
      <c r="I11" s="272">
        <v>385372</v>
      </c>
      <c r="J11" s="272">
        <v>626905508</v>
      </c>
      <c r="K11" s="272">
        <v>1667547</v>
      </c>
      <c r="L11" s="272">
        <v>0</v>
      </c>
      <c r="M11" s="272">
        <v>0</v>
      </c>
      <c r="N11" s="276">
        <v>211575464</v>
      </c>
      <c r="O11" s="276">
        <v>514564</v>
      </c>
      <c r="P11" s="272">
        <v>1435847754</v>
      </c>
      <c r="Q11" s="272">
        <v>2052919</v>
      </c>
      <c r="R11" s="274">
        <v>1597636816</v>
      </c>
      <c r="S11" s="275">
        <v>2398979</v>
      </c>
      <c r="T11" s="108">
        <f t="shared" si="0"/>
        <v>1597636816</v>
      </c>
      <c r="U11" s="108">
        <f t="shared" si="1"/>
        <v>788694570</v>
      </c>
    </row>
    <row r="12" spans="1:21" ht="20.399999999999999" x14ac:dyDescent="0.3">
      <c r="A12" s="139" t="s">
        <v>453</v>
      </c>
      <c r="B12" s="139" t="s">
        <v>13</v>
      </c>
      <c r="C12" s="139"/>
      <c r="D12" s="139"/>
      <c r="E12" s="139"/>
      <c r="F12" s="272">
        <v>28150219.754871801</v>
      </c>
      <c r="G12" s="272">
        <v>32318</v>
      </c>
      <c r="H12" s="272">
        <v>280729011.89716798</v>
      </c>
      <c r="I12" s="272">
        <v>46456.02</v>
      </c>
      <c r="J12" s="272">
        <v>167897944.95622</v>
      </c>
      <c r="K12" s="272">
        <v>521211.82</v>
      </c>
      <c r="L12" s="272">
        <v>0</v>
      </c>
      <c r="M12" s="272">
        <v>0</v>
      </c>
      <c r="N12" s="276">
        <v>76022382.517866194</v>
      </c>
      <c r="O12" s="276">
        <v>234135.95</v>
      </c>
      <c r="P12" s="272">
        <v>448626956.85338801</v>
      </c>
      <c r="Q12" s="272">
        <v>567667.84</v>
      </c>
      <c r="R12" s="274">
        <v>476777176.60825998</v>
      </c>
      <c r="S12" s="275">
        <v>599986.36</v>
      </c>
      <c r="T12" s="108">
        <f t="shared" si="0"/>
        <v>476777176.60825974</v>
      </c>
      <c r="U12" s="108">
        <f t="shared" si="1"/>
        <v>196048164.71109182</v>
      </c>
    </row>
    <row r="13" spans="1:21" ht="20.399999999999999" x14ac:dyDescent="0.3">
      <c r="A13" s="139" t="s">
        <v>453</v>
      </c>
      <c r="B13" s="139" t="s">
        <v>14</v>
      </c>
      <c r="C13" s="139"/>
      <c r="D13" s="139"/>
      <c r="E13" s="139"/>
      <c r="F13" s="272">
        <v>15230552</v>
      </c>
      <c r="G13" s="272">
        <v>22913</v>
      </c>
      <c r="H13" s="272">
        <v>65921792</v>
      </c>
      <c r="I13" s="272">
        <v>5446.52</v>
      </c>
      <c r="J13" s="272">
        <v>59304118</v>
      </c>
      <c r="K13" s="272">
        <v>155089.26</v>
      </c>
      <c r="L13" s="272">
        <v>2866640.26</v>
      </c>
      <c r="M13" s="272">
        <v>5504.57</v>
      </c>
      <c r="N13" s="276">
        <v>10816566.6</v>
      </c>
      <c r="O13" s="276">
        <v>26242.16</v>
      </c>
      <c r="P13" s="272">
        <v>128092550.26000001</v>
      </c>
      <c r="Q13" s="272">
        <v>166040.35</v>
      </c>
      <c r="R13" s="274">
        <v>143323102.25999999</v>
      </c>
      <c r="S13" s="275">
        <v>188953.60000000001</v>
      </c>
      <c r="T13" s="108">
        <f t="shared" si="0"/>
        <v>140456462</v>
      </c>
      <c r="U13" s="108">
        <f t="shared" si="1"/>
        <v>74534670</v>
      </c>
    </row>
    <row r="14" spans="1:21" ht="20.399999999999999" x14ac:dyDescent="0.3">
      <c r="A14" s="139" t="s">
        <v>453</v>
      </c>
      <c r="B14" s="139" t="s">
        <v>15</v>
      </c>
      <c r="C14" s="139"/>
      <c r="D14" s="139"/>
      <c r="E14" s="139"/>
      <c r="F14" s="272">
        <v>419097</v>
      </c>
      <c r="G14" s="272">
        <v>750</v>
      </c>
      <c r="H14" s="272">
        <v>18548446</v>
      </c>
      <c r="I14" s="272">
        <v>823.47</v>
      </c>
      <c r="J14" s="272">
        <v>5557973</v>
      </c>
      <c r="K14" s="272">
        <v>15581.98</v>
      </c>
      <c r="L14" s="272">
        <v>0</v>
      </c>
      <c r="M14" s="272">
        <v>0</v>
      </c>
      <c r="N14" s="276">
        <v>0</v>
      </c>
      <c r="O14" s="276">
        <v>0</v>
      </c>
      <c r="P14" s="272">
        <v>24106419</v>
      </c>
      <c r="Q14" s="272">
        <v>16405.45</v>
      </c>
      <c r="R14" s="274">
        <v>24525516</v>
      </c>
      <c r="S14" s="275">
        <v>17156.05</v>
      </c>
      <c r="T14" s="108">
        <f t="shared" si="0"/>
        <v>24525516</v>
      </c>
      <c r="U14" s="108">
        <f t="shared" si="1"/>
        <v>5977070</v>
      </c>
    </row>
    <row r="15" spans="1:21" ht="20.399999999999999" x14ac:dyDescent="0.3">
      <c r="A15" s="139" t="s">
        <v>453</v>
      </c>
      <c r="B15" s="139" t="s">
        <v>16</v>
      </c>
      <c r="C15" s="139"/>
      <c r="D15" s="139"/>
      <c r="E15" s="139"/>
      <c r="F15" s="272">
        <v>891546</v>
      </c>
      <c r="G15" s="272">
        <v>24</v>
      </c>
      <c r="H15" s="272">
        <v>24592390</v>
      </c>
      <c r="I15" s="272">
        <v>0</v>
      </c>
      <c r="J15" s="272">
        <v>3861532</v>
      </c>
      <c r="K15" s="272">
        <v>11494</v>
      </c>
      <c r="L15" s="272">
        <v>0</v>
      </c>
      <c r="M15" s="272">
        <v>0</v>
      </c>
      <c r="N15" s="276">
        <v>0</v>
      </c>
      <c r="O15" s="276">
        <v>0</v>
      </c>
      <c r="P15" s="272">
        <v>28453922</v>
      </c>
      <c r="Q15" s="272">
        <v>11494</v>
      </c>
      <c r="R15" s="274">
        <v>29345468</v>
      </c>
      <c r="S15" s="275">
        <v>11518</v>
      </c>
      <c r="T15" s="108">
        <f t="shared" si="0"/>
        <v>29345468</v>
      </c>
      <c r="U15" s="108">
        <f t="shared" si="1"/>
        <v>4753078</v>
      </c>
    </row>
    <row r="16" spans="1:21" ht="20.399999999999999" x14ac:dyDescent="0.3">
      <c r="A16" s="139" t="s">
        <v>453</v>
      </c>
      <c r="B16" s="140" t="s">
        <v>17</v>
      </c>
      <c r="C16" s="140"/>
      <c r="D16" s="140"/>
      <c r="E16" s="140"/>
      <c r="F16" s="272">
        <v>234578684</v>
      </c>
      <c r="G16" s="272">
        <v>364175</v>
      </c>
      <c r="H16" s="272">
        <v>1292705429</v>
      </c>
      <c r="I16" s="272">
        <v>262519</v>
      </c>
      <c r="J16" s="272">
        <v>1077042490</v>
      </c>
      <c r="K16" s="272">
        <v>2337833</v>
      </c>
      <c r="L16" s="272">
        <v>37358789</v>
      </c>
      <c r="M16" s="272">
        <v>64063</v>
      </c>
      <c r="N16" s="276">
        <v>566953030</v>
      </c>
      <c r="O16" s="276">
        <v>1075068</v>
      </c>
      <c r="P16" s="272">
        <v>2407106708</v>
      </c>
      <c r="Q16" s="272">
        <v>2664415</v>
      </c>
      <c r="R16" s="274">
        <v>2641685392</v>
      </c>
      <c r="S16" s="275">
        <v>3028590</v>
      </c>
      <c r="T16" s="108">
        <f>H16+J16+F16</f>
        <v>2604326603</v>
      </c>
      <c r="U16" s="108">
        <f>F16+J16</f>
        <v>1311621174</v>
      </c>
    </row>
    <row r="17" spans="1:21" ht="20.399999999999999" x14ac:dyDescent="0.3">
      <c r="A17" s="139" t="s">
        <v>453</v>
      </c>
      <c r="B17" s="140" t="s">
        <v>18</v>
      </c>
      <c r="C17" s="140"/>
      <c r="D17" s="140"/>
      <c r="E17" s="140"/>
      <c r="F17" s="272">
        <v>98406490</v>
      </c>
      <c r="G17" s="272">
        <v>161721</v>
      </c>
      <c r="H17" s="272">
        <v>482183513</v>
      </c>
      <c r="I17" s="272">
        <v>127998</v>
      </c>
      <c r="J17" s="272">
        <v>286158671</v>
      </c>
      <c r="K17" s="272">
        <v>676281</v>
      </c>
      <c r="L17" s="272">
        <v>4147619</v>
      </c>
      <c r="M17" s="272">
        <v>8467</v>
      </c>
      <c r="N17" s="276">
        <v>139259185</v>
      </c>
      <c r="O17" s="276">
        <v>253691</v>
      </c>
      <c r="P17" s="272">
        <v>772489803</v>
      </c>
      <c r="Q17" s="272">
        <v>812746</v>
      </c>
      <c r="R17" s="274">
        <v>870896293</v>
      </c>
      <c r="S17" s="275">
        <v>974467</v>
      </c>
      <c r="T17" s="108">
        <f>H17+J17+F17</f>
        <v>866748674</v>
      </c>
      <c r="U17" s="108">
        <f>F17+J17</f>
        <v>384565161</v>
      </c>
    </row>
    <row r="18" spans="1:21" x14ac:dyDescent="0.3">
      <c r="A18" s="139" t="s">
        <v>453</v>
      </c>
      <c r="B18" s="139" t="s">
        <v>19</v>
      </c>
      <c r="C18" s="139"/>
      <c r="D18" s="139"/>
      <c r="E18" s="139"/>
      <c r="F18" s="272">
        <v>1</v>
      </c>
      <c r="G18" s="272">
        <v>1</v>
      </c>
      <c r="H18" s="272">
        <v>118340134</v>
      </c>
      <c r="I18" s="272">
        <v>6951</v>
      </c>
      <c r="J18" s="272">
        <v>110692781</v>
      </c>
      <c r="K18" s="272">
        <v>316370</v>
      </c>
      <c r="L18" s="272">
        <v>0</v>
      </c>
      <c r="M18" s="272">
        <v>0</v>
      </c>
      <c r="N18" s="276">
        <v>17393686</v>
      </c>
      <c r="O18" s="276">
        <v>56726</v>
      </c>
      <c r="P18" s="272">
        <v>229032915</v>
      </c>
      <c r="Q18" s="272">
        <v>323321</v>
      </c>
      <c r="R18" s="274">
        <v>229032916</v>
      </c>
      <c r="S18" s="275">
        <v>323322</v>
      </c>
      <c r="T18" s="108">
        <f t="shared" si="0"/>
        <v>229032916</v>
      </c>
      <c r="U18" s="108">
        <f t="shared" si="1"/>
        <v>110692782</v>
      </c>
    </row>
    <row r="19" spans="1:21" x14ac:dyDescent="0.3">
      <c r="A19" s="139" t="s">
        <v>453</v>
      </c>
      <c r="B19" s="139" t="s">
        <v>20</v>
      </c>
      <c r="C19" s="139"/>
      <c r="D19" s="139"/>
      <c r="E19" s="139"/>
      <c r="F19" s="272">
        <v>213617993</v>
      </c>
      <c r="G19" s="272">
        <v>480875</v>
      </c>
      <c r="H19" s="272">
        <v>714025368</v>
      </c>
      <c r="I19" s="272">
        <v>110572</v>
      </c>
      <c r="J19" s="272">
        <v>737302096</v>
      </c>
      <c r="K19" s="272">
        <v>2434864</v>
      </c>
      <c r="L19" s="272">
        <v>36346563</v>
      </c>
      <c r="M19" s="272">
        <v>63214</v>
      </c>
      <c r="N19" s="276">
        <v>316960389.94999999</v>
      </c>
      <c r="O19" s="276">
        <v>720245.15</v>
      </c>
      <c r="P19" s="272">
        <v>1487674027</v>
      </c>
      <c r="Q19" s="272">
        <v>2608650</v>
      </c>
      <c r="R19" s="274">
        <v>1701292020</v>
      </c>
      <c r="S19" s="275">
        <v>3089525</v>
      </c>
      <c r="T19" s="108">
        <f t="shared" si="0"/>
        <v>1664945457</v>
      </c>
      <c r="U19" s="108">
        <f t="shared" si="1"/>
        <v>950920089</v>
      </c>
    </row>
    <row r="20" spans="1:21" x14ac:dyDescent="0.3">
      <c r="A20" s="139" t="s">
        <v>453</v>
      </c>
      <c r="B20" s="139" t="s">
        <v>21</v>
      </c>
      <c r="C20" s="139"/>
      <c r="D20" s="139"/>
      <c r="E20" s="139"/>
      <c r="F20" s="272">
        <v>184897046</v>
      </c>
      <c r="G20" s="272">
        <v>341850</v>
      </c>
      <c r="H20" s="272">
        <v>570339569</v>
      </c>
      <c r="I20" s="272">
        <v>110517</v>
      </c>
      <c r="J20" s="272">
        <v>444761905</v>
      </c>
      <c r="K20" s="272">
        <v>1287598</v>
      </c>
      <c r="L20" s="272">
        <v>7285666</v>
      </c>
      <c r="M20" s="272">
        <v>16349</v>
      </c>
      <c r="N20" s="276">
        <v>265498756</v>
      </c>
      <c r="O20" s="276">
        <v>591066</v>
      </c>
      <c r="P20" s="272">
        <v>1022387140</v>
      </c>
      <c r="Q20" s="272">
        <v>1414464</v>
      </c>
      <c r="R20" s="274">
        <v>1207284186</v>
      </c>
      <c r="S20" s="275">
        <v>1756314</v>
      </c>
      <c r="T20" s="108">
        <f t="shared" si="0"/>
        <v>1199998520</v>
      </c>
      <c r="U20" s="108">
        <f t="shared" si="1"/>
        <v>629658951</v>
      </c>
    </row>
    <row r="21" spans="1:21" x14ac:dyDescent="0.3">
      <c r="A21" s="139" t="s">
        <v>453</v>
      </c>
      <c r="B21" s="139" t="s">
        <v>22</v>
      </c>
      <c r="C21" s="139"/>
      <c r="D21" s="139"/>
      <c r="E21" s="139"/>
      <c r="F21" s="272">
        <v>184302087.09999999</v>
      </c>
      <c r="G21" s="272">
        <v>381322</v>
      </c>
      <c r="H21" s="272">
        <v>975320388.60000002</v>
      </c>
      <c r="I21" s="272">
        <v>483913.6</v>
      </c>
      <c r="J21" s="272">
        <v>1031176259.4</v>
      </c>
      <c r="K21" s="272">
        <v>2347313.6</v>
      </c>
      <c r="L21" s="272">
        <v>247726371</v>
      </c>
      <c r="M21" s="272">
        <v>458576.4</v>
      </c>
      <c r="N21" s="276">
        <v>614300193.79999995</v>
      </c>
      <c r="O21" s="276">
        <v>1249448.8999999999</v>
      </c>
      <c r="P21" s="272">
        <v>2254223019</v>
      </c>
      <c r="Q21" s="272">
        <v>3289803.6</v>
      </c>
      <c r="R21" s="274">
        <v>2438525106.0999999</v>
      </c>
      <c r="S21" s="275">
        <v>3671125.9</v>
      </c>
      <c r="T21" s="108">
        <f t="shared" si="0"/>
        <v>2190798735.0999999</v>
      </c>
      <c r="U21" s="108">
        <f t="shared" si="1"/>
        <v>1215478346.5</v>
      </c>
    </row>
    <row r="22" spans="1:21" ht="20.399999999999999" x14ac:dyDescent="0.3">
      <c r="A22" s="139" t="s">
        <v>453</v>
      </c>
      <c r="B22" s="139" t="s">
        <v>23</v>
      </c>
      <c r="C22" s="139"/>
      <c r="D22" s="139"/>
      <c r="E22" s="139"/>
      <c r="F22" s="272">
        <v>33946468.759999998</v>
      </c>
      <c r="G22" s="272">
        <v>54528</v>
      </c>
      <c r="H22" s="272">
        <v>162016384.22999999</v>
      </c>
      <c r="I22" s="272">
        <v>553.02</v>
      </c>
      <c r="J22" s="272">
        <v>110669174.13</v>
      </c>
      <c r="K22" s="272">
        <v>262850.65000000002</v>
      </c>
      <c r="L22" s="272">
        <v>2605162.29</v>
      </c>
      <c r="M22" s="272">
        <v>4968.28</v>
      </c>
      <c r="N22" s="276">
        <v>57347355.140000001</v>
      </c>
      <c r="O22" s="276">
        <v>117162.92</v>
      </c>
      <c r="P22" s="272">
        <v>275290720.64999998</v>
      </c>
      <c r="Q22" s="272">
        <v>268371.95</v>
      </c>
      <c r="R22" s="274">
        <v>309237189.41000003</v>
      </c>
      <c r="S22" s="275">
        <v>322899.96999999997</v>
      </c>
      <c r="T22" s="108">
        <f t="shared" si="0"/>
        <v>306632027.12</v>
      </c>
      <c r="U22" s="108">
        <f t="shared" si="1"/>
        <v>144615642.88999999</v>
      </c>
    </row>
    <row r="23" spans="1:21" ht="30.6" x14ac:dyDescent="0.3">
      <c r="A23" s="139" t="s">
        <v>453</v>
      </c>
      <c r="B23" s="140" t="s">
        <v>24</v>
      </c>
      <c r="C23" s="140"/>
      <c r="D23" s="140"/>
      <c r="E23" s="140"/>
      <c r="F23" s="272">
        <v>56120662</v>
      </c>
      <c r="G23" s="272">
        <v>98388</v>
      </c>
      <c r="H23" s="272">
        <v>186557152</v>
      </c>
      <c r="I23" s="272">
        <v>30057</v>
      </c>
      <c r="J23" s="272">
        <v>322802932</v>
      </c>
      <c r="K23" s="272">
        <v>670911</v>
      </c>
      <c r="L23" s="272">
        <v>0</v>
      </c>
      <c r="M23" s="272">
        <v>0</v>
      </c>
      <c r="N23" s="276">
        <v>192178811</v>
      </c>
      <c r="O23" s="276">
        <v>362309.96</v>
      </c>
      <c r="P23" s="272">
        <v>509360084</v>
      </c>
      <c r="Q23" s="272">
        <v>700968</v>
      </c>
      <c r="R23" s="274">
        <v>565480746</v>
      </c>
      <c r="S23" s="275">
        <v>799356</v>
      </c>
      <c r="T23" s="108">
        <f t="shared" si="0"/>
        <v>565480746</v>
      </c>
      <c r="U23" s="108">
        <f t="shared" si="1"/>
        <v>378923594</v>
      </c>
    </row>
    <row r="24" spans="1:21" ht="20.399999999999999" x14ac:dyDescent="0.3">
      <c r="A24" s="139" t="s">
        <v>453</v>
      </c>
      <c r="B24" s="140" t="s">
        <v>25</v>
      </c>
      <c r="C24" s="140"/>
      <c r="D24" s="140"/>
      <c r="E24" s="140"/>
      <c r="F24" s="272">
        <v>16755114</v>
      </c>
      <c r="G24" s="272">
        <v>28189</v>
      </c>
      <c r="H24" s="272">
        <v>40654051</v>
      </c>
      <c r="I24" s="272">
        <v>10261.58</v>
      </c>
      <c r="J24" s="272">
        <v>22091555</v>
      </c>
      <c r="K24" s="272">
        <v>61576.88</v>
      </c>
      <c r="L24" s="272">
        <v>58174766</v>
      </c>
      <c r="M24" s="272">
        <v>148823.29999999999</v>
      </c>
      <c r="N24" s="276">
        <v>19202849</v>
      </c>
      <c r="O24" s="276">
        <v>31139.01</v>
      </c>
      <c r="P24" s="272">
        <v>120920372</v>
      </c>
      <c r="Q24" s="272">
        <v>220661.76000000001</v>
      </c>
      <c r="R24" s="274">
        <v>137675486</v>
      </c>
      <c r="S24" s="275">
        <v>248851.56</v>
      </c>
      <c r="T24" s="108">
        <f t="shared" si="0"/>
        <v>79500720</v>
      </c>
      <c r="U24" s="108">
        <f t="shared" si="1"/>
        <v>38846669</v>
      </c>
    </row>
    <row r="25" spans="1:21" ht="20.399999999999999" x14ac:dyDescent="0.3">
      <c r="A25" s="139" t="s">
        <v>453</v>
      </c>
      <c r="B25" s="139" t="s">
        <v>26</v>
      </c>
      <c r="C25" s="139"/>
      <c r="D25" s="139"/>
      <c r="E25" s="139"/>
      <c r="F25" s="272">
        <v>7990795.4000000004</v>
      </c>
      <c r="G25" s="272">
        <v>13940</v>
      </c>
      <c r="H25" s="272">
        <v>40295493.090000004</v>
      </c>
      <c r="I25" s="272">
        <v>3271.1</v>
      </c>
      <c r="J25" s="272">
        <v>8637486.4000000004</v>
      </c>
      <c r="K25" s="272">
        <v>21104.799999999999</v>
      </c>
      <c r="L25" s="272">
        <v>0</v>
      </c>
      <c r="M25" s="272">
        <v>0</v>
      </c>
      <c r="N25" s="276">
        <v>0</v>
      </c>
      <c r="O25" s="276">
        <v>0</v>
      </c>
      <c r="P25" s="272">
        <v>48932979.490000002</v>
      </c>
      <c r="Q25" s="272">
        <v>24375.9</v>
      </c>
      <c r="R25" s="274">
        <v>56923774.890000001</v>
      </c>
      <c r="S25" s="275">
        <v>38316.800000000003</v>
      </c>
      <c r="T25" s="108">
        <f t="shared" si="0"/>
        <v>56923774.890000001</v>
      </c>
      <c r="U25" s="108">
        <f t="shared" si="1"/>
        <v>16628281.800000001</v>
      </c>
    </row>
    <row r="26" spans="1:21" ht="20.399999999999999" x14ac:dyDescent="0.3">
      <c r="A26" s="139" t="s">
        <v>453</v>
      </c>
      <c r="B26" s="139" t="s">
        <v>27</v>
      </c>
      <c r="C26" s="139"/>
      <c r="D26" s="139"/>
      <c r="E26" s="139"/>
      <c r="F26" s="272">
        <v>72529274.180000007</v>
      </c>
      <c r="G26" s="272">
        <v>189726</v>
      </c>
      <c r="H26" s="272">
        <v>320353669.42000002</v>
      </c>
      <c r="I26" s="272">
        <v>48666.85</v>
      </c>
      <c r="J26" s="272">
        <v>115872895.59</v>
      </c>
      <c r="K26" s="272">
        <v>290965.18</v>
      </c>
      <c r="L26" s="272">
        <v>10169680.380000001</v>
      </c>
      <c r="M26" s="272">
        <v>19510.53</v>
      </c>
      <c r="N26" s="276">
        <v>26951834.91</v>
      </c>
      <c r="O26" s="276">
        <v>63884.7</v>
      </c>
      <c r="P26" s="272">
        <v>446396245.38999999</v>
      </c>
      <c r="Q26" s="272">
        <v>359142.56</v>
      </c>
      <c r="R26" s="274">
        <v>518925519.56999999</v>
      </c>
      <c r="S26" s="275">
        <v>548868.56000000006</v>
      </c>
      <c r="T26" s="108">
        <f t="shared" si="0"/>
        <v>508755839.19</v>
      </c>
      <c r="U26" s="108">
        <f t="shared" si="1"/>
        <v>188402169.77000001</v>
      </c>
    </row>
    <row r="27" spans="1:21" x14ac:dyDescent="0.3">
      <c r="A27" s="139" t="s">
        <v>453</v>
      </c>
      <c r="B27" s="139" t="s">
        <v>28</v>
      </c>
      <c r="C27" s="139"/>
      <c r="D27" s="139"/>
      <c r="E27" s="139"/>
      <c r="F27" s="272">
        <v>104333898</v>
      </c>
      <c r="G27" s="272">
        <v>277262</v>
      </c>
      <c r="H27" s="272">
        <v>206833328</v>
      </c>
      <c r="I27" s="272">
        <v>50763</v>
      </c>
      <c r="J27" s="272">
        <v>298093570</v>
      </c>
      <c r="K27" s="272">
        <v>634713</v>
      </c>
      <c r="L27" s="272">
        <v>3931816</v>
      </c>
      <c r="M27" s="272">
        <v>41919</v>
      </c>
      <c r="N27" s="276">
        <v>298260804</v>
      </c>
      <c r="O27" s="276">
        <v>591678</v>
      </c>
      <c r="P27" s="272">
        <v>508858714</v>
      </c>
      <c r="Q27" s="272">
        <v>727395</v>
      </c>
      <c r="R27" s="274">
        <v>613192612</v>
      </c>
      <c r="S27" s="275">
        <v>1004657</v>
      </c>
      <c r="T27" s="108">
        <f t="shared" si="0"/>
        <v>609260796</v>
      </c>
      <c r="U27" s="108">
        <f t="shared" si="1"/>
        <v>402427468</v>
      </c>
    </row>
    <row r="28" spans="1:21" ht="20.399999999999999" x14ac:dyDescent="0.3">
      <c r="A28" s="139" t="s">
        <v>453</v>
      </c>
      <c r="B28" s="139" t="s">
        <v>29</v>
      </c>
      <c r="C28" s="139"/>
      <c r="D28" s="139"/>
      <c r="E28" s="139"/>
      <c r="F28" s="272">
        <v>480198.16</v>
      </c>
      <c r="G28" s="272">
        <v>0</v>
      </c>
      <c r="H28" s="272">
        <v>55643045</v>
      </c>
      <c r="I28" s="272">
        <v>0</v>
      </c>
      <c r="J28" s="272">
        <v>17683713</v>
      </c>
      <c r="K28" s="272">
        <v>49047</v>
      </c>
      <c r="L28" s="272">
        <v>0</v>
      </c>
      <c r="M28" s="272">
        <v>0</v>
      </c>
      <c r="N28" s="276">
        <v>0</v>
      </c>
      <c r="O28" s="276">
        <v>0</v>
      </c>
      <c r="P28" s="272">
        <v>73326758</v>
      </c>
      <c r="Q28" s="272">
        <v>49047</v>
      </c>
      <c r="R28" s="274">
        <v>73806956.159999996</v>
      </c>
      <c r="S28" s="275">
        <v>49047</v>
      </c>
      <c r="T28" s="108">
        <f t="shared" si="0"/>
        <v>73806956.159999996</v>
      </c>
      <c r="U28" s="108">
        <f t="shared" si="1"/>
        <v>18163911.16</v>
      </c>
    </row>
    <row r="29" spans="1:21" ht="20.399999999999999" x14ac:dyDescent="0.3">
      <c r="A29" s="139" t="s">
        <v>453</v>
      </c>
      <c r="B29" s="139" t="s">
        <v>30</v>
      </c>
      <c r="C29" s="139"/>
      <c r="D29" s="139"/>
      <c r="E29" s="139"/>
      <c r="F29" s="272">
        <v>86589713.430000007</v>
      </c>
      <c r="G29" s="272">
        <v>137147</v>
      </c>
      <c r="H29" s="272">
        <v>546758131.71000004</v>
      </c>
      <c r="I29" s="272">
        <v>171720.98</v>
      </c>
      <c r="J29" s="272">
        <v>245822856.78999999</v>
      </c>
      <c r="K29" s="272">
        <v>587028.73</v>
      </c>
      <c r="L29" s="272">
        <v>3477473.24</v>
      </c>
      <c r="M29" s="272">
        <v>6618.54</v>
      </c>
      <c r="N29" s="276">
        <v>72343263.060000002</v>
      </c>
      <c r="O29" s="276">
        <v>144546.38</v>
      </c>
      <c r="P29" s="272">
        <v>796058461.74000001</v>
      </c>
      <c r="Q29" s="272">
        <v>765368.25</v>
      </c>
      <c r="R29" s="274">
        <v>882648175.16999996</v>
      </c>
      <c r="S29" s="275">
        <v>902515.86</v>
      </c>
      <c r="T29" s="108">
        <f t="shared" si="0"/>
        <v>879170701.93000007</v>
      </c>
      <c r="U29" s="108">
        <f t="shared" si="1"/>
        <v>332412570.22000003</v>
      </c>
    </row>
    <row r="30" spans="1:21" ht="20.399999999999999" x14ac:dyDescent="0.3">
      <c r="A30" s="139" t="s">
        <v>453</v>
      </c>
      <c r="B30" s="139" t="s">
        <v>31</v>
      </c>
      <c r="C30" s="139"/>
      <c r="D30" s="139"/>
      <c r="E30" s="139"/>
      <c r="F30" s="272">
        <v>17743405.350000001</v>
      </c>
      <c r="G30" s="272">
        <v>33661</v>
      </c>
      <c r="H30" s="272">
        <v>114024977.81</v>
      </c>
      <c r="I30" s="272">
        <v>12323.7</v>
      </c>
      <c r="J30" s="272">
        <v>92175040.829999998</v>
      </c>
      <c r="K30" s="272">
        <v>280231.17</v>
      </c>
      <c r="L30" s="272">
        <v>3378435.9</v>
      </c>
      <c r="M30" s="272">
        <v>6492.73</v>
      </c>
      <c r="N30" s="276">
        <v>3221178.2</v>
      </c>
      <c r="O30" s="276">
        <v>8379.7099999999991</v>
      </c>
      <c r="P30" s="272">
        <v>209578454.53999999</v>
      </c>
      <c r="Q30" s="272">
        <v>299047.59999999998</v>
      </c>
      <c r="R30" s="274">
        <v>227321859.88999999</v>
      </c>
      <c r="S30" s="275">
        <v>332708.96999999997</v>
      </c>
      <c r="T30" s="108">
        <f t="shared" si="0"/>
        <v>223943423.98999998</v>
      </c>
      <c r="U30" s="108">
        <f t="shared" si="1"/>
        <v>109918446.18000001</v>
      </c>
    </row>
    <row r="31" spans="1:21" x14ac:dyDescent="0.3">
      <c r="A31" s="139" t="s">
        <v>453</v>
      </c>
      <c r="B31" s="139" t="s">
        <v>32</v>
      </c>
      <c r="C31" s="139"/>
      <c r="D31" s="139"/>
      <c r="E31" s="139"/>
      <c r="F31" s="272">
        <v>61498570</v>
      </c>
      <c r="G31" s="272">
        <v>119491</v>
      </c>
      <c r="H31" s="272">
        <v>263704857</v>
      </c>
      <c r="I31" s="272">
        <v>48418</v>
      </c>
      <c r="J31" s="272">
        <v>170368632</v>
      </c>
      <c r="K31" s="272">
        <v>487797</v>
      </c>
      <c r="L31" s="272">
        <v>3870953</v>
      </c>
      <c r="M31" s="272">
        <v>7360</v>
      </c>
      <c r="N31" s="276">
        <v>78045311</v>
      </c>
      <c r="O31" s="276">
        <v>232310</v>
      </c>
      <c r="P31" s="272">
        <v>437944442</v>
      </c>
      <c r="Q31" s="272">
        <v>543575</v>
      </c>
      <c r="R31" s="274">
        <v>499443012</v>
      </c>
      <c r="S31" s="275">
        <v>663066</v>
      </c>
      <c r="T31" s="108">
        <f t="shared" si="0"/>
        <v>495572059</v>
      </c>
      <c r="U31" s="108">
        <f t="shared" si="1"/>
        <v>231867202</v>
      </c>
    </row>
    <row r="32" spans="1:21" ht="20.399999999999999" x14ac:dyDescent="0.3">
      <c r="A32" s="139" t="s">
        <v>453</v>
      </c>
      <c r="B32" s="140" t="s">
        <v>33</v>
      </c>
      <c r="C32" s="140"/>
      <c r="D32" s="140"/>
      <c r="E32" s="140"/>
      <c r="F32" s="272">
        <v>1875368.45</v>
      </c>
      <c r="G32" s="272">
        <v>2995</v>
      </c>
      <c r="H32" s="272">
        <v>42658091.670000002</v>
      </c>
      <c r="I32" s="272">
        <v>52106.17</v>
      </c>
      <c r="J32" s="272">
        <v>33746660.75</v>
      </c>
      <c r="K32" s="272">
        <v>68553.38</v>
      </c>
      <c r="L32" s="272">
        <v>0</v>
      </c>
      <c r="M32" s="272">
        <v>0</v>
      </c>
      <c r="N32" s="276">
        <v>24419620</v>
      </c>
      <c r="O32" s="276">
        <v>63606.93</v>
      </c>
      <c r="P32" s="272">
        <v>76404752.420000002</v>
      </c>
      <c r="Q32" s="272">
        <v>120659.55</v>
      </c>
      <c r="R32" s="274">
        <v>78280120.870000005</v>
      </c>
      <c r="S32" s="275">
        <v>123655.11</v>
      </c>
      <c r="T32" s="108">
        <f t="shared" si="0"/>
        <v>78280120.870000005</v>
      </c>
      <c r="U32" s="108">
        <f t="shared" si="1"/>
        <v>35622029.200000003</v>
      </c>
    </row>
    <row r="33" spans="1:21" x14ac:dyDescent="0.3">
      <c r="A33" s="139" t="s">
        <v>453</v>
      </c>
      <c r="B33" s="139" t="s">
        <v>34</v>
      </c>
      <c r="C33" s="139"/>
      <c r="D33" s="139"/>
      <c r="E33" s="139"/>
      <c r="F33" s="272">
        <v>603818</v>
      </c>
      <c r="G33" s="272">
        <v>648</v>
      </c>
      <c r="H33" s="272">
        <v>17038217</v>
      </c>
      <c r="I33" s="272">
        <v>0</v>
      </c>
      <c r="J33" s="272">
        <v>4432468</v>
      </c>
      <c r="K33" s="272">
        <v>11013.5</v>
      </c>
      <c r="L33" s="272">
        <v>0</v>
      </c>
      <c r="M33" s="272">
        <v>0</v>
      </c>
      <c r="N33" s="276">
        <v>0</v>
      </c>
      <c r="O33" s="276">
        <v>0</v>
      </c>
      <c r="P33" s="272">
        <v>21470685</v>
      </c>
      <c r="Q33" s="272">
        <v>11013.5</v>
      </c>
      <c r="R33" s="274">
        <v>22074503</v>
      </c>
      <c r="S33" s="275">
        <v>11662.3</v>
      </c>
      <c r="T33" s="108">
        <f t="shared" si="0"/>
        <v>22074503</v>
      </c>
      <c r="U33" s="108">
        <f t="shared" si="1"/>
        <v>5036286</v>
      </c>
    </row>
    <row r="34" spans="1:21" x14ac:dyDescent="0.3">
      <c r="A34" s="139" t="s">
        <v>453</v>
      </c>
      <c r="B34" s="139" t="s">
        <v>35</v>
      </c>
      <c r="C34" s="139"/>
      <c r="D34" s="139"/>
      <c r="E34" s="139"/>
      <c r="F34" s="272">
        <v>13546397.6</v>
      </c>
      <c r="G34" s="272">
        <v>24359</v>
      </c>
      <c r="H34" s="272">
        <v>64445530</v>
      </c>
      <c r="I34" s="272">
        <v>194</v>
      </c>
      <c r="J34" s="272">
        <v>66147208</v>
      </c>
      <c r="K34" s="272">
        <v>168510</v>
      </c>
      <c r="L34" s="272">
        <v>0</v>
      </c>
      <c r="M34" s="272">
        <v>0</v>
      </c>
      <c r="N34" s="276">
        <v>15041117</v>
      </c>
      <c r="O34" s="276">
        <v>35472.949999999997</v>
      </c>
      <c r="P34" s="272">
        <v>130592738</v>
      </c>
      <c r="Q34" s="272">
        <v>168704</v>
      </c>
      <c r="R34" s="274">
        <v>144139135.59999999</v>
      </c>
      <c r="S34" s="275">
        <v>193063.2</v>
      </c>
      <c r="T34" s="108">
        <f t="shared" si="0"/>
        <v>144139135.59999999</v>
      </c>
      <c r="U34" s="108">
        <f t="shared" si="1"/>
        <v>79693605.599999994</v>
      </c>
    </row>
    <row r="35" spans="1:21" x14ac:dyDescent="0.3">
      <c r="A35" s="139" t="s">
        <v>453</v>
      </c>
      <c r="B35" s="139" t="s">
        <v>36</v>
      </c>
      <c r="C35" s="139"/>
      <c r="D35" s="139"/>
      <c r="E35" s="139"/>
      <c r="F35" s="272">
        <v>2762318132.3800001</v>
      </c>
      <c r="G35" s="272">
        <v>4446986</v>
      </c>
      <c r="H35" s="272">
        <v>15223236928.25</v>
      </c>
      <c r="I35" s="272">
        <v>1707565.41</v>
      </c>
      <c r="J35" s="272">
        <v>7641034132.6899996</v>
      </c>
      <c r="K35" s="272">
        <v>24462989.809999999</v>
      </c>
      <c r="L35" s="272">
        <v>10514016865.59</v>
      </c>
      <c r="M35" s="272">
        <v>23627456.289999999</v>
      </c>
      <c r="N35" s="276">
        <v>3469922835</v>
      </c>
      <c r="O35" s="276">
        <v>7536555.8399999999</v>
      </c>
      <c r="P35" s="272">
        <v>33378287926.529999</v>
      </c>
      <c r="Q35" s="272">
        <v>49798011.509999998</v>
      </c>
      <c r="R35" s="274">
        <v>36140606058.910004</v>
      </c>
      <c r="S35" s="275">
        <v>54244998.259999998</v>
      </c>
      <c r="T35" s="108">
        <f t="shared" si="0"/>
        <v>25626589193.32</v>
      </c>
      <c r="U35" s="108">
        <f t="shared" si="1"/>
        <v>10403352265.07</v>
      </c>
    </row>
    <row r="36" spans="1:21" ht="20.399999999999999" x14ac:dyDescent="0.3">
      <c r="A36" s="139" t="s">
        <v>453</v>
      </c>
      <c r="B36" s="139" t="s">
        <v>37</v>
      </c>
      <c r="C36" s="139"/>
      <c r="D36" s="139"/>
      <c r="E36" s="139"/>
      <c r="F36" s="272">
        <v>0</v>
      </c>
      <c r="G36" s="272">
        <v>0</v>
      </c>
      <c r="H36" s="272">
        <v>0</v>
      </c>
      <c r="I36" s="272">
        <v>0</v>
      </c>
      <c r="J36" s="272">
        <v>0</v>
      </c>
      <c r="K36" s="272">
        <v>0</v>
      </c>
      <c r="L36" s="272">
        <v>0</v>
      </c>
      <c r="M36" s="272">
        <v>0</v>
      </c>
      <c r="N36" s="276">
        <v>0</v>
      </c>
      <c r="O36" s="276">
        <v>0</v>
      </c>
      <c r="P36" s="272">
        <v>0</v>
      </c>
      <c r="Q36" s="272">
        <v>0</v>
      </c>
      <c r="R36" s="274">
        <v>0</v>
      </c>
      <c r="S36" s="275">
        <v>0</v>
      </c>
      <c r="T36" s="108">
        <f t="shared" si="0"/>
        <v>0</v>
      </c>
      <c r="U36" s="108">
        <f t="shared" si="1"/>
        <v>0</v>
      </c>
    </row>
    <row r="37" spans="1:21" x14ac:dyDescent="0.3">
      <c r="A37" s="139" t="s">
        <v>453</v>
      </c>
      <c r="B37" s="139" t="s">
        <v>38</v>
      </c>
      <c r="C37" s="139"/>
      <c r="D37" s="139"/>
      <c r="E37" s="139"/>
      <c r="F37" s="272">
        <v>529200425</v>
      </c>
      <c r="G37" s="272">
        <v>881454</v>
      </c>
      <c r="H37" s="272">
        <v>3257669549</v>
      </c>
      <c r="I37" s="272">
        <v>854940</v>
      </c>
      <c r="J37" s="272">
        <v>3577015024</v>
      </c>
      <c r="K37" s="272">
        <v>8143062</v>
      </c>
      <c r="L37" s="272">
        <v>33622545</v>
      </c>
      <c r="M37" s="272">
        <v>61844</v>
      </c>
      <c r="N37" s="276">
        <v>1292613290</v>
      </c>
      <c r="O37" s="276">
        <v>2539078</v>
      </c>
      <c r="P37" s="272">
        <v>6868307118</v>
      </c>
      <c r="Q37" s="272">
        <v>9059846</v>
      </c>
      <c r="R37" s="274">
        <v>7397507543</v>
      </c>
      <c r="S37" s="275">
        <v>9941300</v>
      </c>
      <c r="T37" s="108">
        <f t="shared" si="0"/>
        <v>7363884998</v>
      </c>
      <c r="U37" s="108">
        <f t="shared" si="1"/>
        <v>4106215449</v>
      </c>
    </row>
    <row r="38" spans="1:21" x14ac:dyDescent="0.3">
      <c r="A38" s="139" t="s">
        <v>453</v>
      </c>
      <c r="B38" s="139" t="s">
        <v>39</v>
      </c>
      <c r="C38" s="139"/>
      <c r="D38" s="139"/>
      <c r="E38" s="139"/>
      <c r="F38" s="272">
        <v>19799368.620000001</v>
      </c>
      <c r="G38" s="272">
        <v>28255</v>
      </c>
      <c r="H38" s="272">
        <v>188770098.27000001</v>
      </c>
      <c r="I38" s="272">
        <v>11169.93</v>
      </c>
      <c r="J38" s="272">
        <v>54929918.990000002</v>
      </c>
      <c r="K38" s="272">
        <v>131353.22</v>
      </c>
      <c r="L38" s="272">
        <v>0</v>
      </c>
      <c r="M38" s="272">
        <v>0</v>
      </c>
      <c r="N38" s="276">
        <v>0</v>
      </c>
      <c r="O38" s="276">
        <v>0</v>
      </c>
      <c r="P38" s="272">
        <v>243700017.25999999</v>
      </c>
      <c r="Q38" s="272">
        <v>142523.15</v>
      </c>
      <c r="R38" s="274">
        <v>263499385.88</v>
      </c>
      <c r="S38" s="275">
        <v>170778.97</v>
      </c>
      <c r="T38" s="108">
        <f t="shared" si="0"/>
        <v>263499385.88000003</v>
      </c>
      <c r="U38" s="108">
        <f t="shared" si="1"/>
        <v>74729287.609999999</v>
      </c>
    </row>
    <row r="39" spans="1:21" ht="20.399999999999999" x14ac:dyDescent="0.3">
      <c r="A39" s="139" t="s">
        <v>453</v>
      </c>
      <c r="B39" s="139" t="s">
        <v>40</v>
      </c>
      <c r="C39" s="139"/>
      <c r="D39" s="139"/>
      <c r="E39" s="139"/>
      <c r="F39" s="272">
        <v>115926873.75</v>
      </c>
      <c r="G39" s="272">
        <v>198605</v>
      </c>
      <c r="H39" s="272">
        <v>301013829.81</v>
      </c>
      <c r="I39" s="272">
        <v>93635.97</v>
      </c>
      <c r="J39" s="272">
        <v>284822515.69</v>
      </c>
      <c r="K39" s="272">
        <v>660199.12</v>
      </c>
      <c r="L39" s="272">
        <v>3616283.42</v>
      </c>
      <c r="M39" s="272">
        <v>6712.69</v>
      </c>
      <c r="N39" s="276">
        <v>178413924.15000001</v>
      </c>
      <c r="O39" s="276">
        <v>370251.46</v>
      </c>
      <c r="P39" s="272">
        <v>589452628.91999996</v>
      </c>
      <c r="Q39" s="272">
        <v>760547.78</v>
      </c>
      <c r="R39" s="274">
        <v>705379502.66999996</v>
      </c>
      <c r="S39" s="275">
        <v>959152.9</v>
      </c>
      <c r="T39" s="108">
        <f t="shared" si="0"/>
        <v>701763219.25</v>
      </c>
      <c r="U39" s="108">
        <f t="shared" si="1"/>
        <v>400749389.44</v>
      </c>
    </row>
    <row r="40" spans="1:21" ht="20.399999999999999" x14ac:dyDescent="0.3">
      <c r="A40" s="139" t="s">
        <v>453</v>
      </c>
      <c r="B40" s="139" t="s">
        <v>41</v>
      </c>
      <c r="C40" s="139"/>
      <c r="D40" s="139"/>
      <c r="E40" s="139"/>
      <c r="F40" s="272">
        <v>220917011.61989999</v>
      </c>
      <c r="G40" s="272">
        <v>473569</v>
      </c>
      <c r="H40" s="272">
        <v>996619966.50960004</v>
      </c>
      <c r="I40" s="272">
        <v>0</v>
      </c>
      <c r="J40" s="272">
        <v>573631444.95640004</v>
      </c>
      <c r="K40" s="272">
        <v>1784992.56</v>
      </c>
      <c r="L40" s="272">
        <v>27520828.09</v>
      </c>
      <c r="M40" s="272">
        <v>67145.37</v>
      </c>
      <c r="N40" s="276">
        <v>208734455.96599999</v>
      </c>
      <c r="O40" s="276">
        <v>504203.43</v>
      </c>
      <c r="P40" s="272">
        <v>1597772239.556</v>
      </c>
      <c r="Q40" s="272">
        <v>1852137.93</v>
      </c>
      <c r="R40" s="274">
        <v>1818689251.1759</v>
      </c>
      <c r="S40" s="275">
        <v>2325707.77</v>
      </c>
      <c r="T40" s="108">
        <f t="shared" si="0"/>
        <v>1791168423.0859001</v>
      </c>
      <c r="U40" s="108">
        <f t="shared" si="1"/>
        <v>794548456.57630002</v>
      </c>
    </row>
    <row r="41" spans="1:21" x14ac:dyDescent="0.3">
      <c r="A41" s="139" t="s">
        <v>453</v>
      </c>
      <c r="B41" s="139" t="s">
        <v>42</v>
      </c>
      <c r="C41" s="139"/>
      <c r="D41" s="139"/>
      <c r="E41" s="139"/>
      <c r="F41" s="272">
        <v>49967760.200000003</v>
      </c>
      <c r="G41" s="272">
        <v>106446</v>
      </c>
      <c r="H41" s="272">
        <v>112958527.87</v>
      </c>
      <c r="I41" s="272">
        <v>31976.85</v>
      </c>
      <c r="J41" s="272">
        <v>86508921.629999995</v>
      </c>
      <c r="K41" s="272">
        <v>226695.14</v>
      </c>
      <c r="L41" s="272">
        <v>0</v>
      </c>
      <c r="M41" s="272">
        <v>0</v>
      </c>
      <c r="N41" s="276">
        <v>75373730.260000005</v>
      </c>
      <c r="O41" s="276">
        <v>142771.1</v>
      </c>
      <c r="P41" s="272">
        <v>199467449.5</v>
      </c>
      <c r="Q41" s="272">
        <v>258671.99</v>
      </c>
      <c r="R41" s="274">
        <v>249435209.69999999</v>
      </c>
      <c r="S41" s="275">
        <v>365118.75</v>
      </c>
      <c r="T41" s="108">
        <f t="shared" si="0"/>
        <v>249435209.69999999</v>
      </c>
      <c r="U41" s="108">
        <f t="shared" si="1"/>
        <v>136476681.82999998</v>
      </c>
    </row>
    <row r="42" spans="1:21" ht="20.399999999999999" x14ac:dyDescent="0.3">
      <c r="A42" s="139" t="s">
        <v>453</v>
      </c>
      <c r="B42" s="139" t="s">
        <v>43</v>
      </c>
      <c r="C42" s="139"/>
      <c r="D42" s="139"/>
      <c r="E42" s="139"/>
      <c r="F42" s="272">
        <v>33709687</v>
      </c>
      <c r="G42" s="272">
        <v>52176</v>
      </c>
      <c r="H42" s="272">
        <v>162638933.21000001</v>
      </c>
      <c r="I42" s="272">
        <v>13949.43</v>
      </c>
      <c r="J42" s="272">
        <v>92388255.099999994</v>
      </c>
      <c r="K42" s="272">
        <v>223147.58</v>
      </c>
      <c r="L42" s="272">
        <v>0</v>
      </c>
      <c r="M42" s="272">
        <v>0</v>
      </c>
      <c r="N42" s="276">
        <v>42961261.43</v>
      </c>
      <c r="O42" s="276">
        <v>92945.44</v>
      </c>
      <c r="P42" s="272">
        <v>255027188.31</v>
      </c>
      <c r="Q42" s="272">
        <v>237097.01</v>
      </c>
      <c r="R42" s="274">
        <v>288736875.31</v>
      </c>
      <c r="S42" s="275">
        <v>289273.13</v>
      </c>
      <c r="T42" s="108">
        <f t="shared" si="0"/>
        <v>288736875.31</v>
      </c>
      <c r="U42" s="108">
        <f t="shared" si="1"/>
        <v>126097942.09999999</v>
      </c>
    </row>
    <row r="43" spans="1:21" x14ac:dyDescent="0.3">
      <c r="A43" s="139" t="s">
        <v>453</v>
      </c>
      <c r="B43" s="139" t="s">
        <v>44</v>
      </c>
      <c r="C43" s="139"/>
      <c r="D43" s="139"/>
      <c r="E43" s="139"/>
      <c r="F43" s="272">
        <v>283475855.89999998</v>
      </c>
      <c r="G43" s="272">
        <v>512927</v>
      </c>
      <c r="H43" s="272">
        <v>1593339762</v>
      </c>
      <c r="I43" s="272">
        <v>369323.89</v>
      </c>
      <c r="J43" s="272">
        <v>1324042645</v>
      </c>
      <c r="K43" s="272">
        <v>3380078.44</v>
      </c>
      <c r="L43" s="272">
        <v>0</v>
      </c>
      <c r="M43" s="272">
        <v>28511.5</v>
      </c>
      <c r="N43" s="276">
        <v>560302674.70000005</v>
      </c>
      <c r="O43" s="276">
        <v>1321732.3</v>
      </c>
      <c r="P43" s="272">
        <v>2917382407</v>
      </c>
      <c r="Q43" s="272">
        <v>3777913.83</v>
      </c>
      <c r="R43" s="274">
        <v>3200858262.9000001</v>
      </c>
      <c r="S43" s="275">
        <v>4290841.53</v>
      </c>
      <c r="T43" s="108">
        <f t="shared" si="0"/>
        <v>3200858262.9000001</v>
      </c>
      <c r="U43" s="108">
        <f t="shared" si="1"/>
        <v>1607518500.9000001</v>
      </c>
    </row>
    <row r="44" spans="1:21" ht="20.399999999999999" x14ac:dyDescent="0.3">
      <c r="A44" s="139" t="s">
        <v>453</v>
      </c>
      <c r="B44" s="139" t="s">
        <v>0</v>
      </c>
      <c r="C44" s="139"/>
      <c r="D44" s="139"/>
      <c r="E44" s="139"/>
      <c r="F44" s="272">
        <v>55831685</v>
      </c>
      <c r="G44" s="272">
        <v>89670</v>
      </c>
      <c r="H44" s="272">
        <v>423561691</v>
      </c>
      <c r="I44" s="272">
        <v>104104</v>
      </c>
      <c r="J44" s="272">
        <v>428250487</v>
      </c>
      <c r="K44" s="272">
        <v>976171</v>
      </c>
      <c r="L44" s="272">
        <v>4331691</v>
      </c>
      <c r="M44" s="272">
        <v>9327</v>
      </c>
      <c r="N44" s="276">
        <v>243610967</v>
      </c>
      <c r="O44" s="276">
        <v>481341</v>
      </c>
      <c r="P44" s="272">
        <v>856143869</v>
      </c>
      <c r="Q44" s="272">
        <v>1089602</v>
      </c>
      <c r="R44" s="274">
        <v>911975554</v>
      </c>
      <c r="S44" s="275">
        <v>1179272</v>
      </c>
      <c r="T44" s="108">
        <f t="shared" si="0"/>
        <v>907643863</v>
      </c>
      <c r="U44" s="108">
        <f t="shared" si="1"/>
        <v>484082172</v>
      </c>
    </row>
    <row r="45" spans="1:21" ht="20.399999999999999" x14ac:dyDescent="0.3">
      <c r="A45" s="139" t="s">
        <v>453</v>
      </c>
      <c r="B45" s="140" t="s">
        <v>45</v>
      </c>
      <c r="C45" s="140"/>
      <c r="D45" s="140"/>
      <c r="E45" s="140"/>
      <c r="F45" s="272">
        <v>108434492</v>
      </c>
      <c r="G45" s="272">
        <v>168064</v>
      </c>
      <c r="H45" s="272">
        <v>453677279</v>
      </c>
      <c r="I45" s="272">
        <v>28772</v>
      </c>
      <c r="J45" s="272">
        <v>279660379</v>
      </c>
      <c r="K45" s="272">
        <v>693975</v>
      </c>
      <c r="L45" s="272">
        <v>3726295</v>
      </c>
      <c r="M45" s="272">
        <v>15698</v>
      </c>
      <c r="N45" s="276">
        <v>115174314</v>
      </c>
      <c r="O45" s="276">
        <v>235949</v>
      </c>
      <c r="P45" s="272">
        <v>737063953</v>
      </c>
      <c r="Q45" s="272">
        <v>738445</v>
      </c>
      <c r="R45" s="274">
        <v>845498445</v>
      </c>
      <c r="S45" s="275">
        <v>906509</v>
      </c>
      <c r="T45" s="108">
        <f t="shared" si="0"/>
        <v>841772150</v>
      </c>
      <c r="U45" s="108">
        <f t="shared" si="1"/>
        <v>388094871</v>
      </c>
    </row>
    <row r="46" spans="1:21" ht="20.399999999999999" x14ac:dyDescent="0.3">
      <c r="A46" s="139" t="s">
        <v>453</v>
      </c>
      <c r="B46" s="139" t="s">
        <v>46</v>
      </c>
      <c r="C46" s="139"/>
      <c r="D46" s="139"/>
      <c r="E46" s="139"/>
      <c r="F46" s="272">
        <v>98091083</v>
      </c>
      <c r="G46" s="272">
        <v>160249</v>
      </c>
      <c r="H46" s="272">
        <v>569593895</v>
      </c>
      <c r="I46" s="272">
        <v>68933</v>
      </c>
      <c r="J46" s="272">
        <v>552870731</v>
      </c>
      <c r="K46" s="272">
        <v>1396343</v>
      </c>
      <c r="L46" s="272">
        <v>3166943</v>
      </c>
      <c r="M46" s="272">
        <v>6075</v>
      </c>
      <c r="N46" s="276">
        <v>154666015</v>
      </c>
      <c r="O46" s="276">
        <v>346570</v>
      </c>
      <c r="P46" s="272">
        <v>1125631569</v>
      </c>
      <c r="Q46" s="272">
        <v>1471351</v>
      </c>
      <c r="R46" s="274">
        <v>1223722652</v>
      </c>
      <c r="S46" s="275">
        <v>1631600</v>
      </c>
      <c r="T46" s="108">
        <f t="shared" si="0"/>
        <v>1220555709</v>
      </c>
      <c r="U46" s="108">
        <f t="shared" si="1"/>
        <v>650961814</v>
      </c>
    </row>
    <row r="47" spans="1:21" ht="20.399999999999999" x14ac:dyDescent="0.3">
      <c r="A47" s="139" t="s">
        <v>453</v>
      </c>
      <c r="B47" s="139" t="s">
        <v>47</v>
      </c>
      <c r="C47" s="139"/>
      <c r="D47" s="139"/>
      <c r="E47" s="139"/>
      <c r="F47" s="272">
        <v>18692405.5</v>
      </c>
      <c r="G47" s="272">
        <v>36126</v>
      </c>
      <c r="H47" s="272">
        <v>119479628.73999999</v>
      </c>
      <c r="I47" s="272">
        <v>18525.8</v>
      </c>
      <c r="J47" s="272">
        <v>79359827.450000003</v>
      </c>
      <c r="K47" s="272">
        <v>191447.67</v>
      </c>
      <c r="L47" s="272">
        <v>0</v>
      </c>
      <c r="M47" s="272">
        <v>0</v>
      </c>
      <c r="N47" s="276">
        <v>18134723.359999999</v>
      </c>
      <c r="O47" s="276">
        <v>47569.04</v>
      </c>
      <c r="P47" s="272">
        <v>198839456.19</v>
      </c>
      <c r="Q47" s="272">
        <v>209973.47</v>
      </c>
      <c r="R47" s="274">
        <v>217531861.69</v>
      </c>
      <c r="S47" s="275">
        <v>246099.6</v>
      </c>
      <c r="T47" s="108">
        <f t="shared" si="0"/>
        <v>217531861.69</v>
      </c>
      <c r="U47" s="108">
        <f t="shared" si="1"/>
        <v>98052232.950000003</v>
      </c>
    </row>
    <row r="48" spans="1:21" ht="20.399999999999999" x14ac:dyDescent="0.3">
      <c r="A48" s="139" t="s">
        <v>453</v>
      </c>
      <c r="B48" s="139" t="s">
        <v>48</v>
      </c>
      <c r="C48" s="139"/>
      <c r="D48" s="139"/>
      <c r="E48" s="139"/>
      <c r="F48" s="272">
        <v>50250020.909999996</v>
      </c>
      <c r="G48" s="272">
        <v>90271</v>
      </c>
      <c r="H48" s="272">
        <v>273151806.37</v>
      </c>
      <c r="I48" s="272">
        <v>39565.24</v>
      </c>
      <c r="J48" s="272">
        <v>173579143.83000001</v>
      </c>
      <c r="K48" s="272">
        <v>423504.25</v>
      </c>
      <c r="L48" s="272">
        <v>0</v>
      </c>
      <c r="M48" s="272">
        <v>0</v>
      </c>
      <c r="N48" s="276">
        <v>42947474.799999997</v>
      </c>
      <c r="O48" s="276">
        <v>97139.06</v>
      </c>
      <c r="P48" s="272">
        <v>446730950.19999999</v>
      </c>
      <c r="Q48" s="272">
        <v>463069.49</v>
      </c>
      <c r="R48" s="274">
        <v>496980971.11000001</v>
      </c>
      <c r="S48" s="275">
        <v>553340.68000000005</v>
      </c>
      <c r="T48" s="108">
        <f t="shared" si="0"/>
        <v>496980971.11000001</v>
      </c>
      <c r="U48" s="108">
        <f t="shared" si="1"/>
        <v>223829164.74000001</v>
      </c>
    </row>
    <row r="49" spans="1:21" ht="20.399999999999999" x14ac:dyDescent="0.3">
      <c r="A49" s="139" t="s">
        <v>453</v>
      </c>
      <c r="B49" s="139" t="s">
        <v>49</v>
      </c>
      <c r="C49" s="139"/>
      <c r="D49" s="139"/>
      <c r="E49" s="139"/>
      <c r="F49" s="272">
        <v>16400363</v>
      </c>
      <c r="G49" s="272">
        <v>35103</v>
      </c>
      <c r="H49" s="272">
        <v>53317626</v>
      </c>
      <c r="I49" s="272">
        <v>0</v>
      </c>
      <c r="J49" s="272">
        <v>47310018</v>
      </c>
      <c r="K49" s="272">
        <v>151059</v>
      </c>
      <c r="L49" s="272">
        <v>0</v>
      </c>
      <c r="M49" s="272">
        <v>0</v>
      </c>
      <c r="N49" s="276">
        <v>16061836</v>
      </c>
      <c r="O49" s="276">
        <v>70915</v>
      </c>
      <c r="P49" s="272">
        <v>100627644</v>
      </c>
      <c r="Q49" s="272">
        <v>151059</v>
      </c>
      <c r="R49" s="274">
        <v>117028007</v>
      </c>
      <c r="S49" s="275">
        <v>186162</v>
      </c>
      <c r="T49" s="108">
        <f t="shared" si="0"/>
        <v>117028007</v>
      </c>
      <c r="U49" s="108">
        <f t="shared" si="1"/>
        <v>63710381</v>
      </c>
    </row>
    <row r="50" spans="1:21" ht="20.399999999999999" x14ac:dyDescent="0.3">
      <c r="A50" s="139" t="s">
        <v>453</v>
      </c>
      <c r="B50" s="139" t="s">
        <v>50</v>
      </c>
      <c r="C50" s="139"/>
      <c r="D50" s="139"/>
      <c r="E50" s="139"/>
      <c r="F50" s="272">
        <v>195945742.34999999</v>
      </c>
      <c r="G50" s="272">
        <v>399529</v>
      </c>
      <c r="H50" s="272">
        <v>815037861.46000004</v>
      </c>
      <c r="I50" s="272">
        <v>206312</v>
      </c>
      <c r="J50" s="272">
        <v>602543597.25999999</v>
      </c>
      <c r="K50" s="272">
        <v>1548397.82</v>
      </c>
      <c r="L50" s="272">
        <v>4255917.71</v>
      </c>
      <c r="M50" s="272">
        <v>8394.59</v>
      </c>
      <c r="N50" s="276">
        <v>177344123</v>
      </c>
      <c r="O50" s="276">
        <v>376812</v>
      </c>
      <c r="P50" s="272">
        <v>1421837376.4300001</v>
      </c>
      <c r="Q50" s="272">
        <v>1763104.41</v>
      </c>
      <c r="R50" s="274">
        <v>1617783118.78</v>
      </c>
      <c r="S50" s="275">
        <v>2162633.77</v>
      </c>
      <c r="T50" s="108">
        <f t="shared" si="0"/>
        <v>1613527201.0699999</v>
      </c>
      <c r="U50" s="108">
        <f t="shared" si="1"/>
        <v>798489339.61000001</v>
      </c>
    </row>
    <row r="51" spans="1:21" x14ac:dyDescent="0.3">
      <c r="A51" s="139" t="s">
        <v>453</v>
      </c>
      <c r="B51" s="139" t="s">
        <v>51</v>
      </c>
      <c r="C51" s="139"/>
      <c r="D51" s="139"/>
      <c r="E51" s="139"/>
      <c r="F51" s="272">
        <v>35045017</v>
      </c>
      <c r="G51" s="272">
        <v>67115</v>
      </c>
      <c r="H51" s="272">
        <v>129637291.55</v>
      </c>
      <c r="I51" s="272">
        <v>24498.080000000002</v>
      </c>
      <c r="J51" s="272">
        <v>87062013</v>
      </c>
      <c r="K51" s="272">
        <v>209067.05</v>
      </c>
      <c r="L51" s="272">
        <v>3013333.2</v>
      </c>
      <c r="M51" s="272">
        <v>5683.77</v>
      </c>
      <c r="N51" s="276">
        <v>39164593</v>
      </c>
      <c r="O51" s="276">
        <v>91113</v>
      </c>
      <c r="P51" s="272">
        <v>219712637.75</v>
      </c>
      <c r="Q51" s="272">
        <v>239248.9</v>
      </c>
      <c r="R51" s="274">
        <v>254757654.75</v>
      </c>
      <c r="S51" s="275">
        <v>306363.90000000002</v>
      </c>
      <c r="T51" s="108">
        <f t="shared" si="0"/>
        <v>251744321.55000001</v>
      </c>
      <c r="U51" s="108">
        <f t="shared" si="1"/>
        <v>122107030</v>
      </c>
    </row>
    <row r="52" spans="1:21" ht="20.399999999999999" x14ac:dyDescent="0.3">
      <c r="A52" s="139" t="s">
        <v>453</v>
      </c>
      <c r="B52" s="139" t="s">
        <v>52</v>
      </c>
      <c r="C52" s="139"/>
      <c r="D52" s="139"/>
      <c r="E52" s="139"/>
      <c r="F52" s="272">
        <v>39404847</v>
      </c>
      <c r="G52" s="272">
        <v>66779</v>
      </c>
      <c r="H52" s="272">
        <v>163720463</v>
      </c>
      <c r="I52" s="272">
        <v>59021</v>
      </c>
      <c r="J52" s="272">
        <v>117092755</v>
      </c>
      <c r="K52" s="272">
        <v>295223</v>
      </c>
      <c r="L52" s="272">
        <v>2872560</v>
      </c>
      <c r="M52" s="272">
        <v>5624</v>
      </c>
      <c r="N52" s="276">
        <v>48922409</v>
      </c>
      <c r="O52" s="276">
        <v>125187</v>
      </c>
      <c r="P52" s="272">
        <v>283685778</v>
      </c>
      <c r="Q52" s="272">
        <v>359868</v>
      </c>
      <c r="R52" s="274">
        <v>323090625</v>
      </c>
      <c r="S52" s="275">
        <v>426647</v>
      </c>
      <c r="T52" s="108">
        <f t="shared" si="0"/>
        <v>320218065</v>
      </c>
      <c r="U52" s="108">
        <f t="shared" si="1"/>
        <v>156497602</v>
      </c>
    </row>
    <row r="53" spans="1:21" ht="20.399999999999999" x14ac:dyDescent="0.3">
      <c r="A53" s="139" t="s">
        <v>453</v>
      </c>
      <c r="B53" s="139" t="s">
        <v>53</v>
      </c>
      <c r="C53" s="139"/>
      <c r="D53" s="139"/>
      <c r="E53" s="139"/>
      <c r="F53" s="272">
        <v>127367388</v>
      </c>
      <c r="G53" s="272">
        <v>234849</v>
      </c>
      <c r="H53" s="272">
        <v>697359913</v>
      </c>
      <c r="I53" s="272">
        <v>317881</v>
      </c>
      <c r="J53" s="272">
        <v>266192520</v>
      </c>
      <c r="K53" s="272">
        <v>703166</v>
      </c>
      <c r="L53" s="272">
        <v>6881329</v>
      </c>
      <c r="M53" s="272">
        <v>13219</v>
      </c>
      <c r="N53" s="276">
        <v>92817186</v>
      </c>
      <c r="O53" s="276">
        <v>197198</v>
      </c>
      <c r="P53" s="272">
        <v>970433762</v>
      </c>
      <c r="Q53" s="272">
        <v>1034266</v>
      </c>
      <c r="R53" s="274">
        <v>1097801150</v>
      </c>
      <c r="S53" s="275">
        <v>1269115</v>
      </c>
      <c r="T53" s="108">
        <f t="shared" si="0"/>
        <v>1090919821</v>
      </c>
      <c r="U53" s="108">
        <f t="shared" si="1"/>
        <v>393559908</v>
      </c>
    </row>
    <row r="54" spans="1:21" ht="20.399999999999999" x14ac:dyDescent="0.3">
      <c r="A54" s="139" t="s">
        <v>453</v>
      </c>
      <c r="B54" s="139" t="s">
        <v>54</v>
      </c>
      <c r="C54" s="139"/>
      <c r="D54" s="139"/>
      <c r="E54" s="139"/>
      <c r="F54" s="272">
        <v>19857561</v>
      </c>
      <c r="G54" s="272">
        <v>36112</v>
      </c>
      <c r="H54" s="272">
        <v>120339783</v>
      </c>
      <c r="I54" s="272">
        <v>40928</v>
      </c>
      <c r="J54" s="272">
        <v>45001361</v>
      </c>
      <c r="K54" s="272">
        <v>155755</v>
      </c>
      <c r="L54" s="272">
        <v>0</v>
      </c>
      <c r="M54" s="272">
        <v>0</v>
      </c>
      <c r="N54" s="276">
        <v>0</v>
      </c>
      <c r="O54" s="276">
        <v>0</v>
      </c>
      <c r="P54" s="272">
        <v>165341144</v>
      </c>
      <c r="Q54" s="272">
        <v>196683</v>
      </c>
      <c r="R54" s="274">
        <v>185198705</v>
      </c>
      <c r="S54" s="275">
        <v>232795</v>
      </c>
      <c r="T54" s="108">
        <f t="shared" si="0"/>
        <v>185198705</v>
      </c>
      <c r="U54" s="108">
        <f t="shared" si="1"/>
        <v>64858922</v>
      </c>
    </row>
    <row r="55" spans="1:21" ht="30.6" x14ac:dyDescent="0.3">
      <c r="A55" s="139" t="s">
        <v>453</v>
      </c>
      <c r="B55" s="139" t="s">
        <v>55</v>
      </c>
      <c r="C55" s="139"/>
      <c r="D55" s="139"/>
      <c r="E55" s="139"/>
      <c r="F55" s="272">
        <v>122722540</v>
      </c>
      <c r="G55" s="272">
        <v>230369</v>
      </c>
      <c r="H55" s="272">
        <v>463446765</v>
      </c>
      <c r="I55" s="272">
        <v>119489</v>
      </c>
      <c r="J55" s="272">
        <v>208500369</v>
      </c>
      <c r="K55" s="272">
        <v>576387</v>
      </c>
      <c r="L55" s="272">
        <v>0</v>
      </c>
      <c r="M55" s="272">
        <v>5438</v>
      </c>
      <c r="N55" s="276">
        <v>137979417</v>
      </c>
      <c r="O55" s="276">
        <v>302762</v>
      </c>
      <c r="P55" s="272">
        <v>671947134</v>
      </c>
      <c r="Q55" s="272">
        <v>701314</v>
      </c>
      <c r="R55" s="274">
        <v>794669674</v>
      </c>
      <c r="S55" s="275">
        <v>931683</v>
      </c>
      <c r="T55" s="108">
        <f t="shared" si="0"/>
        <v>794669674</v>
      </c>
      <c r="U55" s="108">
        <f t="shared" si="1"/>
        <v>331222909</v>
      </c>
    </row>
    <row r="56" spans="1:21" x14ac:dyDescent="0.3">
      <c r="A56" s="139" t="s">
        <v>453</v>
      </c>
      <c r="B56" s="139" t="s">
        <v>56</v>
      </c>
      <c r="C56" s="139"/>
      <c r="D56" s="139"/>
      <c r="E56" s="139"/>
      <c r="F56" s="272">
        <v>68682996.280000001</v>
      </c>
      <c r="G56" s="272">
        <v>100674</v>
      </c>
      <c r="H56" s="272">
        <v>407046124.01999998</v>
      </c>
      <c r="I56" s="272">
        <v>122305.32</v>
      </c>
      <c r="J56" s="272">
        <v>157968806.49000001</v>
      </c>
      <c r="K56" s="272">
        <v>389211.23</v>
      </c>
      <c r="L56" s="272">
        <v>0</v>
      </c>
      <c r="M56" s="272">
        <v>0</v>
      </c>
      <c r="N56" s="276">
        <v>32510299</v>
      </c>
      <c r="O56" s="276">
        <v>83491</v>
      </c>
      <c r="P56" s="272">
        <v>565014930.50999999</v>
      </c>
      <c r="Q56" s="272">
        <v>511516.55</v>
      </c>
      <c r="R56" s="274">
        <v>633697926.78999996</v>
      </c>
      <c r="S56" s="275">
        <v>612190.67000000004</v>
      </c>
      <c r="T56" s="108">
        <f t="shared" si="0"/>
        <v>633697926.78999996</v>
      </c>
      <c r="U56" s="108">
        <f t="shared" si="1"/>
        <v>226651802.77000001</v>
      </c>
    </row>
    <row r="57" spans="1:21" x14ac:dyDescent="0.3">
      <c r="A57" s="139" t="s">
        <v>453</v>
      </c>
      <c r="B57" s="139" t="s">
        <v>57</v>
      </c>
      <c r="C57" s="139"/>
      <c r="D57" s="139"/>
      <c r="E57" s="139"/>
      <c r="F57" s="272">
        <v>7052122</v>
      </c>
      <c r="G57" s="272">
        <v>10370</v>
      </c>
      <c r="H57" s="272">
        <v>42302019</v>
      </c>
      <c r="I57" s="272">
        <v>0</v>
      </c>
      <c r="J57" s="272">
        <v>37438563</v>
      </c>
      <c r="K57" s="272">
        <v>100062</v>
      </c>
      <c r="L57" s="272">
        <v>0</v>
      </c>
      <c r="M57" s="272">
        <v>0</v>
      </c>
      <c r="N57" s="276">
        <v>12237109.16</v>
      </c>
      <c r="O57" s="276">
        <v>23498.19</v>
      </c>
      <c r="P57" s="272">
        <v>79740582</v>
      </c>
      <c r="Q57" s="272">
        <v>100062</v>
      </c>
      <c r="R57" s="274">
        <v>86792704</v>
      </c>
      <c r="S57" s="275">
        <v>110432.2</v>
      </c>
      <c r="T57" s="108">
        <f t="shared" si="0"/>
        <v>86792704</v>
      </c>
      <c r="U57" s="108">
        <f t="shared" si="1"/>
        <v>44490685</v>
      </c>
    </row>
    <row r="58" spans="1:21" ht="20.399999999999999" x14ac:dyDescent="0.3">
      <c r="A58" s="139" t="s">
        <v>453</v>
      </c>
      <c r="B58" s="139" t="s">
        <v>58</v>
      </c>
      <c r="C58" s="139"/>
      <c r="D58" s="139"/>
      <c r="E58" s="139"/>
      <c r="F58" s="272">
        <v>7978657</v>
      </c>
      <c r="G58" s="272">
        <v>13050</v>
      </c>
      <c r="H58" s="272">
        <v>62057846</v>
      </c>
      <c r="I58" s="272">
        <v>6789.9</v>
      </c>
      <c r="J58" s="272">
        <v>31812128</v>
      </c>
      <c r="K58" s="272">
        <v>94884.26</v>
      </c>
      <c r="L58" s="272">
        <v>0</v>
      </c>
      <c r="M58" s="272">
        <v>0</v>
      </c>
      <c r="N58" s="276">
        <v>5806605</v>
      </c>
      <c r="O58" s="276">
        <v>17467</v>
      </c>
      <c r="P58" s="272">
        <v>93869974</v>
      </c>
      <c r="Q58" s="272">
        <v>101674.16</v>
      </c>
      <c r="R58" s="274">
        <v>101848631</v>
      </c>
      <c r="S58" s="275">
        <v>114724.5</v>
      </c>
      <c r="T58" s="108">
        <f t="shared" si="0"/>
        <v>101848631</v>
      </c>
      <c r="U58" s="108">
        <f t="shared" si="1"/>
        <v>39790785</v>
      </c>
    </row>
    <row r="59" spans="1:21" x14ac:dyDescent="0.3">
      <c r="A59" s="139" t="s">
        <v>453</v>
      </c>
      <c r="B59" s="139" t="s">
        <v>59</v>
      </c>
      <c r="C59" s="139"/>
      <c r="D59" s="139"/>
      <c r="E59" s="139"/>
      <c r="F59" s="272">
        <v>2844255.2</v>
      </c>
      <c r="G59" s="272">
        <v>0</v>
      </c>
      <c r="H59" s="272">
        <v>53789301.969999999</v>
      </c>
      <c r="I59" s="272">
        <v>12500.6</v>
      </c>
      <c r="J59" s="272">
        <v>21936591.719999999</v>
      </c>
      <c r="K59" s="272">
        <v>51853.73</v>
      </c>
      <c r="L59" s="272">
        <v>0</v>
      </c>
      <c r="M59" s="272">
        <v>0</v>
      </c>
      <c r="N59" s="276">
        <v>0</v>
      </c>
      <c r="O59" s="276">
        <v>0</v>
      </c>
      <c r="P59" s="272">
        <v>75725893.689999998</v>
      </c>
      <c r="Q59" s="272">
        <v>64354.33</v>
      </c>
      <c r="R59" s="274">
        <v>78570148.890000001</v>
      </c>
      <c r="S59" s="275">
        <v>64354.33</v>
      </c>
      <c r="T59" s="108">
        <f t="shared" si="0"/>
        <v>78570148.890000001</v>
      </c>
      <c r="U59" s="108">
        <f t="shared" si="1"/>
        <v>24780846.919999998</v>
      </c>
    </row>
    <row r="60" spans="1:21" ht="30.6" x14ac:dyDescent="0.3">
      <c r="A60" s="139" t="s">
        <v>453</v>
      </c>
      <c r="B60" s="139" t="s">
        <v>60</v>
      </c>
      <c r="C60" s="139"/>
      <c r="D60" s="139"/>
      <c r="E60" s="139"/>
      <c r="F60" s="272">
        <v>16940486</v>
      </c>
      <c r="G60" s="272">
        <v>36316</v>
      </c>
      <c r="H60" s="272">
        <v>60730246</v>
      </c>
      <c r="I60" s="272">
        <v>14059</v>
      </c>
      <c r="J60" s="272">
        <v>20712772</v>
      </c>
      <c r="K60" s="272">
        <v>41199</v>
      </c>
      <c r="L60" s="272">
        <v>0</v>
      </c>
      <c r="M60" s="272">
        <v>0</v>
      </c>
      <c r="N60" s="276">
        <v>0</v>
      </c>
      <c r="O60" s="276">
        <v>0</v>
      </c>
      <c r="P60" s="272">
        <v>81443018</v>
      </c>
      <c r="Q60" s="272">
        <v>55258</v>
      </c>
      <c r="R60" s="274">
        <v>98383504</v>
      </c>
      <c r="S60" s="275">
        <v>91574</v>
      </c>
      <c r="T60" s="108">
        <f t="shared" si="0"/>
        <v>98383504</v>
      </c>
      <c r="U60" s="108">
        <f t="shared" si="1"/>
        <v>37653258</v>
      </c>
    </row>
    <row r="61" spans="1:21" ht="30.6" x14ac:dyDescent="0.3">
      <c r="A61" s="139" t="s">
        <v>453</v>
      </c>
      <c r="B61" s="139" t="s">
        <v>61</v>
      </c>
      <c r="C61" s="139"/>
      <c r="D61" s="139"/>
      <c r="E61" s="139"/>
      <c r="F61" s="272">
        <v>56532737</v>
      </c>
      <c r="G61" s="272">
        <v>111236</v>
      </c>
      <c r="H61" s="272">
        <v>516602001</v>
      </c>
      <c r="I61" s="272">
        <v>205225</v>
      </c>
      <c r="J61" s="272">
        <v>323287406</v>
      </c>
      <c r="K61" s="272">
        <v>876980</v>
      </c>
      <c r="L61" s="272">
        <v>0</v>
      </c>
      <c r="M61" s="272">
        <v>0</v>
      </c>
      <c r="N61" s="276">
        <v>126330844.81999999</v>
      </c>
      <c r="O61" s="276">
        <v>351616.3</v>
      </c>
      <c r="P61" s="272">
        <v>839889407</v>
      </c>
      <c r="Q61" s="272">
        <v>1082205</v>
      </c>
      <c r="R61" s="274">
        <v>896422144</v>
      </c>
      <c r="S61" s="275">
        <v>1193441</v>
      </c>
      <c r="T61" s="108">
        <f t="shared" si="0"/>
        <v>896422144</v>
      </c>
      <c r="U61" s="108">
        <f t="shared" si="1"/>
        <v>379820143</v>
      </c>
    </row>
    <row r="62" spans="1:21" x14ac:dyDescent="0.3">
      <c r="A62" s="139" t="s">
        <v>453</v>
      </c>
      <c r="B62" s="139" t="s">
        <v>62</v>
      </c>
      <c r="C62" s="139"/>
      <c r="D62" s="139"/>
      <c r="E62" s="139"/>
      <c r="F62" s="272">
        <v>48021260.549999997</v>
      </c>
      <c r="G62" s="272">
        <v>64475</v>
      </c>
      <c r="H62" s="272">
        <v>71061293.459999993</v>
      </c>
      <c r="I62" s="272">
        <v>14391.28</v>
      </c>
      <c r="J62" s="272">
        <v>64228347.390000001</v>
      </c>
      <c r="K62" s="272">
        <v>188787.42</v>
      </c>
      <c r="L62" s="272">
        <v>0</v>
      </c>
      <c r="M62" s="272">
        <v>0</v>
      </c>
      <c r="N62" s="276">
        <v>49026950.640000001</v>
      </c>
      <c r="O62" s="276">
        <v>106418.7</v>
      </c>
      <c r="P62" s="272">
        <v>135289640.84999999</v>
      </c>
      <c r="Q62" s="272">
        <v>203178.7</v>
      </c>
      <c r="R62" s="274">
        <v>183310901.40000001</v>
      </c>
      <c r="S62" s="275">
        <v>267653.78000000003</v>
      </c>
      <c r="T62" s="108">
        <f t="shared" si="0"/>
        <v>183310901.39999998</v>
      </c>
      <c r="U62" s="108">
        <f t="shared" si="1"/>
        <v>112249607.94</v>
      </c>
    </row>
    <row r="63" spans="1:21" ht="20.399999999999999" x14ac:dyDescent="0.3">
      <c r="A63" s="139" t="s">
        <v>453</v>
      </c>
      <c r="B63" s="139" t="s">
        <v>63</v>
      </c>
      <c r="C63" s="139"/>
      <c r="D63" s="139"/>
      <c r="E63" s="139"/>
      <c r="F63" s="272">
        <v>2670024832</v>
      </c>
      <c r="G63" s="272">
        <v>5224394</v>
      </c>
      <c r="H63" s="272">
        <v>10416743189.190001</v>
      </c>
      <c r="I63" s="272">
        <v>7637432.3300000001</v>
      </c>
      <c r="J63" s="272">
        <v>11379662370.83</v>
      </c>
      <c r="K63" s="272">
        <v>27768255.68</v>
      </c>
      <c r="L63" s="272">
        <v>326638701.93000001</v>
      </c>
      <c r="M63" s="272">
        <v>610483.75</v>
      </c>
      <c r="N63" s="276">
        <v>5208597011</v>
      </c>
      <c r="O63" s="276">
        <v>10983550</v>
      </c>
      <c r="P63" s="272">
        <v>22123044261.950001</v>
      </c>
      <c r="Q63" s="272">
        <v>36016171.759999998</v>
      </c>
      <c r="R63" s="274">
        <v>24793069093.950001</v>
      </c>
      <c r="S63" s="275">
        <v>41240565.759999998</v>
      </c>
      <c r="T63" s="108">
        <f t="shared" si="0"/>
        <v>24466430392.02</v>
      </c>
      <c r="U63" s="108">
        <f t="shared" si="1"/>
        <v>14049687202.83</v>
      </c>
    </row>
    <row r="64" spans="1:21" x14ac:dyDescent="0.3">
      <c r="A64" s="139" t="s">
        <v>453</v>
      </c>
      <c r="B64" s="139" t="s">
        <v>64</v>
      </c>
      <c r="C64" s="139"/>
      <c r="D64" s="139"/>
      <c r="E64" s="139"/>
      <c r="F64" s="272">
        <v>5564326</v>
      </c>
      <c r="G64" s="272">
        <v>9576</v>
      </c>
      <c r="H64" s="272">
        <v>111614860</v>
      </c>
      <c r="I64" s="272">
        <v>0</v>
      </c>
      <c r="J64" s="272">
        <v>14284813</v>
      </c>
      <c r="K64" s="272">
        <v>38557.9</v>
      </c>
      <c r="L64" s="272">
        <v>2678677</v>
      </c>
      <c r="M64" s="272">
        <v>5394.51</v>
      </c>
      <c r="N64" s="276">
        <v>0</v>
      </c>
      <c r="O64" s="276">
        <v>0</v>
      </c>
      <c r="P64" s="272">
        <v>128578350</v>
      </c>
      <c r="Q64" s="272">
        <v>43952.41</v>
      </c>
      <c r="R64" s="274">
        <v>134142676</v>
      </c>
      <c r="S64" s="275">
        <v>53529.11</v>
      </c>
      <c r="T64" s="108">
        <f t="shared" si="0"/>
        <v>131463999</v>
      </c>
      <c r="U64" s="108">
        <f t="shared" si="1"/>
        <v>19849139</v>
      </c>
    </row>
    <row r="65" spans="1:21" ht="20.399999999999999" x14ac:dyDescent="0.3">
      <c r="A65" s="139" t="s">
        <v>453</v>
      </c>
      <c r="B65" s="139" t="s">
        <v>65</v>
      </c>
      <c r="C65" s="139"/>
      <c r="D65" s="139"/>
      <c r="E65" s="139"/>
      <c r="F65" s="272">
        <v>148661297</v>
      </c>
      <c r="G65" s="272">
        <v>0</v>
      </c>
      <c r="H65" s="272">
        <v>667953593</v>
      </c>
      <c r="I65" s="272">
        <v>234573</v>
      </c>
      <c r="J65" s="272">
        <v>633479732</v>
      </c>
      <c r="K65" s="272">
        <v>1854258</v>
      </c>
      <c r="L65" s="272">
        <v>8585533</v>
      </c>
      <c r="M65" s="272">
        <v>0</v>
      </c>
      <c r="N65" s="276">
        <v>295995447</v>
      </c>
      <c r="O65" s="276">
        <v>0</v>
      </c>
      <c r="P65" s="272">
        <v>1310018858</v>
      </c>
      <c r="Q65" s="272">
        <v>2088831</v>
      </c>
      <c r="R65" s="274">
        <v>1458680155</v>
      </c>
      <c r="S65" s="275">
        <v>2088831</v>
      </c>
      <c r="T65" s="108">
        <f t="shared" si="0"/>
        <v>1450094622</v>
      </c>
      <c r="U65" s="108">
        <f t="shared" si="1"/>
        <v>782141029</v>
      </c>
    </row>
    <row r="66" spans="1:21" ht="20.399999999999999" x14ac:dyDescent="0.3">
      <c r="A66" s="139" t="s">
        <v>453</v>
      </c>
      <c r="B66" s="139" t="s">
        <v>66</v>
      </c>
      <c r="C66" s="139"/>
      <c r="D66" s="139"/>
      <c r="E66" s="139"/>
      <c r="F66" s="272">
        <v>20050471</v>
      </c>
      <c r="G66" s="272">
        <v>20166</v>
      </c>
      <c r="H66" s="272">
        <v>224580275</v>
      </c>
      <c r="I66" s="272">
        <v>26132</v>
      </c>
      <c r="J66" s="272">
        <v>131537026</v>
      </c>
      <c r="K66" s="272">
        <v>367640</v>
      </c>
      <c r="L66" s="272">
        <v>2923062</v>
      </c>
      <c r="M66" s="272">
        <v>5287</v>
      </c>
      <c r="N66" s="276">
        <v>24020461</v>
      </c>
      <c r="O66" s="276">
        <v>87485</v>
      </c>
      <c r="P66" s="272">
        <v>359040363</v>
      </c>
      <c r="Q66" s="272">
        <v>399059</v>
      </c>
      <c r="R66" s="274">
        <v>379090834</v>
      </c>
      <c r="S66" s="275">
        <v>419225</v>
      </c>
      <c r="T66" s="108">
        <f t="shared" si="0"/>
        <v>376167772</v>
      </c>
      <c r="U66" s="108">
        <f t="shared" si="1"/>
        <v>151587497</v>
      </c>
    </row>
    <row r="67" spans="1:21" ht="20.399999999999999" x14ac:dyDescent="0.3">
      <c r="A67" s="139" t="s">
        <v>453</v>
      </c>
      <c r="B67" s="139" t="s">
        <v>67</v>
      </c>
      <c r="C67" s="139"/>
      <c r="D67" s="139"/>
      <c r="E67" s="139"/>
      <c r="F67" s="272">
        <v>33615988</v>
      </c>
      <c r="G67" s="272">
        <v>60278</v>
      </c>
      <c r="H67" s="272">
        <v>36064093</v>
      </c>
      <c r="I67" s="272">
        <v>52</v>
      </c>
      <c r="J67" s="272">
        <v>36730903</v>
      </c>
      <c r="K67" s="272">
        <v>91593</v>
      </c>
      <c r="L67" s="272">
        <v>0</v>
      </c>
      <c r="M67" s="272">
        <v>0</v>
      </c>
      <c r="N67" s="276">
        <v>36721328.939999998</v>
      </c>
      <c r="O67" s="276">
        <v>73180</v>
      </c>
      <c r="P67" s="272">
        <v>72794996</v>
      </c>
      <c r="Q67" s="272">
        <v>91645</v>
      </c>
      <c r="R67" s="274">
        <v>106410984</v>
      </c>
      <c r="S67" s="275">
        <v>151923</v>
      </c>
      <c r="T67" s="108">
        <f t="shared" si="0"/>
        <v>106410984</v>
      </c>
      <c r="U67" s="108">
        <f t="shared" si="1"/>
        <v>70346891</v>
      </c>
    </row>
    <row r="68" spans="1:21" x14ac:dyDescent="0.3">
      <c r="A68" s="139" t="s">
        <v>453</v>
      </c>
      <c r="B68" s="139" t="s">
        <v>68</v>
      </c>
      <c r="C68" s="139"/>
      <c r="D68" s="139"/>
      <c r="E68" s="139"/>
      <c r="F68" s="272">
        <v>93715034</v>
      </c>
      <c r="G68" s="272">
        <v>209000</v>
      </c>
      <c r="H68" s="272">
        <v>259647460</v>
      </c>
      <c r="I68" s="272">
        <v>24597</v>
      </c>
      <c r="J68" s="272">
        <v>109725687</v>
      </c>
      <c r="K68" s="272">
        <v>322962</v>
      </c>
      <c r="L68" s="272">
        <v>1827725</v>
      </c>
      <c r="M68" s="272">
        <v>4899</v>
      </c>
      <c r="N68" s="276">
        <v>77936554</v>
      </c>
      <c r="O68" s="276">
        <v>160533</v>
      </c>
      <c r="P68" s="272">
        <v>371200872</v>
      </c>
      <c r="Q68" s="272">
        <v>352458</v>
      </c>
      <c r="R68" s="274">
        <v>464915906</v>
      </c>
      <c r="S68" s="275">
        <v>561458</v>
      </c>
      <c r="T68" s="108">
        <f t="shared" si="0"/>
        <v>463088181</v>
      </c>
      <c r="U68" s="108">
        <f t="shared" si="1"/>
        <v>203440721</v>
      </c>
    </row>
    <row r="69" spans="1:21" x14ac:dyDescent="0.3">
      <c r="A69" s="107" t="s">
        <v>450</v>
      </c>
    </row>
  </sheetData>
  <sheetProtection algorithmName="SHA-512" hashValue="uHL+io1ybsuUDXYjZSeAYdG5Z0qaWOGLelK68dGxrkEtasnGb907tm2/IIuJMu1JBlMvKvM7ffuCaiiZKtOEpA==" saltValue="muF6HhVw/shb06WPIIimTg==" spinCount="100000" sheet="1" objects="1" scenarios="1"/>
  <autoFilter ref="A4:U4" xr:uid="{00000000-0009-0000-0000-00000B000000}"/>
  <mergeCells count="2">
    <mergeCell ref="A1:H1"/>
    <mergeCell ref="A2:H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U64"/>
  <sheetViews>
    <sheetView showGridLines="0" topLeftCell="O1" workbookViewId="0">
      <selection activeCell="T3" sqref="T3:U4"/>
    </sheetView>
  </sheetViews>
  <sheetFormatPr defaultColWidth="9" defaultRowHeight="14.4" x14ac:dyDescent="0.3"/>
  <cols>
    <col min="1" max="1" width="9" style="170" customWidth="1"/>
    <col min="2" max="5" width="18.88671875" style="170" customWidth="1"/>
    <col min="6" max="6" width="26.109375" style="170" customWidth="1"/>
    <col min="7" max="7" width="25.33203125" style="170" customWidth="1"/>
    <col min="8" max="8" width="18" style="170" customWidth="1"/>
    <col min="9" max="9" width="17" style="170" customWidth="1"/>
    <col min="10" max="10" width="20.6640625" style="170" customWidth="1"/>
    <col min="11" max="11" width="20" style="170" customWidth="1"/>
    <col min="12" max="12" width="15" style="170" customWidth="1"/>
    <col min="13" max="13" width="14.33203125" style="170" customWidth="1"/>
    <col min="14" max="14" width="21.33203125" style="170" customWidth="1"/>
    <col min="15" max="15" width="20.5546875" style="170" customWidth="1"/>
    <col min="16" max="16" width="22.109375" style="170" customWidth="1"/>
    <col min="17" max="17" width="21.33203125" style="170" customWidth="1"/>
    <col min="18" max="18" width="18.5546875" style="170" customWidth="1"/>
    <col min="19" max="19" width="17.5546875" style="170" customWidth="1"/>
    <col min="20" max="20" width="22" style="170" customWidth="1"/>
    <col min="21" max="21" width="30.44140625" style="170" customWidth="1"/>
    <col min="22" max="16384" width="9" style="170"/>
  </cols>
  <sheetData>
    <row r="1" spans="1:21" x14ac:dyDescent="0.3">
      <c r="A1" s="385" t="s">
        <v>454</v>
      </c>
      <c r="B1" s="385"/>
      <c r="C1" s="385"/>
      <c r="D1" s="385"/>
      <c r="E1" s="385"/>
      <c r="F1" s="385"/>
      <c r="G1" s="385"/>
      <c r="H1" s="385"/>
    </row>
    <row r="2" spans="1:21" x14ac:dyDescent="0.3">
      <c r="A2" s="386" t="s">
        <v>455</v>
      </c>
      <c r="B2" s="386"/>
      <c r="C2" s="386"/>
      <c r="D2" s="386"/>
      <c r="E2" s="386"/>
      <c r="F2" s="386"/>
      <c r="G2" s="386"/>
      <c r="H2" s="386"/>
    </row>
    <row r="3" spans="1:21" x14ac:dyDescent="0.3">
      <c r="A3" s="171" t="s">
        <v>450</v>
      </c>
      <c r="T3" t="s">
        <v>428</v>
      </c>
      <c r="U3" t="s">
        <v>429</v>
      </c>
    </row>
    <row r="4" spans="1:21" x14ac:dyDescent="0.3">
      <c r="A4" s="229" t="s">
        <v>430</v>
      </c>
      <c r="B4" s="229" t="s">
        <v>431</v>
      </c>
      <c r="C4" s="229"/>
      <c r="D4" s="229"/>
      <c r="E4" s="229"/>
      <c r="F4" s="229" t="s">
        <v>432</v>
      </c>
      <c r="G4" s="229" t="s">
        <v>433</v>
      </c>
      <c r="H4" s="229" t="s">
        <v>434</v>
      </c>
      <c r="I4" s="229" t="s">
        <v>435</v>
      </c>
      <c r="J4" s="229" t="s">
        <v>436</v>
      </c>
      <c r="K4" s="229" t="s">
        <v>437</v>
      </c>
      <c r="L4" s="229" t="s">
        <v>438</v>
      </c>
      <c r="M4" s="229" t="s">
        <v>439</v>
      </c>
      <c r="N4" s="229" t="s">
        <v>440</v>
      </c>
      <c r="O4" s="229" t="s">
        <v>441</v>
      </c>
      <c r="P4" s="229" t="s">
        <v>442</v>
      </c>
      <c r="Q4" s="229" t="s">
        <v>443</v>
      </c>
      <c r="R4" s="229" t="s">
        <v>444</v>
      </c>
      <c r="S4" s="277" t="s">
        <v>445</v>
      </c>
      <c r="T4" s="169" t="s">
        <v>446</v>
      </c>
      <c r="U4" s="169" t="s">
        <v>81</v>
      </c>
    </row>
    <row r="5" spans="1:21" ht="20.399999999999999" x14ac:dyDescent="0.3">
      <c r="A5" s="278" t="s">
        <v>456</v>
      </c>
      <c r="B5" s="278" t="s">
        <v>6</v>
      </c>
      <c r="C5" s="278"/>
      <c r="D5" s="278"/>
      <c r="E5" s="278"/>
      <c r="F5" s="279">
        <v>2655028918</v>
      </c>
      <c r="G5" s="279">
        <v>5307211</v>
      </c>
      <c r="H5" s="279">
        <v>10826156503</v>
      </c>
      <c r="I5" s="279">
        <v>3310053</v>
      </c>
      <c r="J5" s="279">
        <v>12100792658</v>
      </c>
      <c r="K5" s="279">
        <v>29915470</v>
      </c>
      <c r="L5" s="279">
        <v>908014632</v>
      </c>
      <c r="M5" s="279">
        <v>1511540</v>
      </c>
      <c r="N5" s="280">
        <v>6159397525</v>
      </c>
      <c r="O5" s="280">
        <v>12564498</v>
      </c>
      <c r="P5" s="279">
        <v>23834963793</v>
      </c>
      <c r="Q5" s="279">
        <v>34737063</v>
      </c>
      <c r="R5" s="281">
        <v>26489992711</v>
      </c>
      <c r="S5" s="282">
        <v>40044274</v>
      </c>
      <c r="T5" s="172">
        <v>25581978079</v>
      </c>
      <c r="U5" s="172">
        <v>14755821576</v>
      </c>
    </row>
    <row r="6" spans="1:21" x14ac:dyDescent="0.3">
      <c r="A6" s="278" t="s">
        <v>456</v>
      </c>
      <c r="B6" s="278" t="s">
        <v>8</v>
      </c>
      <c r="C6" s="278"/>
      <c r="D6" s="278"/>
      <c r="E6" s="278"/>
      <c r="F6" s="279">
        <v>8277614</v>
      </c>
      <c r="G6" s="279">
        <v>9889</v>
      </c>
      <c r="H6" s="279">
        <v>118567534</v>
      </c>
      <c r="I6" s="279">
        <v>9019</v>
      </c>
      <c r="J6" s="279">
        <v>108955335</v>
      </c>
      <c r="K6" s="279">
        <v>225676</v>
      </c>
      <c r="L6" s="279">
        <v>0</v>
      </c>
      <c r="M6" s="279">
        <v>0</v>
      </c>
      <c r="N6" s="280">
        <v>81535209</v>
      </c>
      <c r="O6" s="280">
        <v>141198</v>
      </c>
      <c r="P6" s="279">
        <v>227522869</v>
      </c>
      <c r="Q6" s="279">
        <v>234695</v>
      </c>
      <c r="R6" s="281">
        <v>235800483</v>
      </c>
      <c r="S6" s="282">
        <v>244584</v>
      </c>
      <c r="T6" s="172">
        <v>235800483</v>
      </c>
      <c r="U6" s="172">
        <v>117232949</v>
      </c>
    </row>
    <row r="7" spans="1:21" x14ac:dyDescent="0.3">
      <c r="A7" s="278" t="s">
        <v>456</v>
      </c>
      <c r="B7" s="278" t="s">
        <v>9</v>
      </c>
      <c r="C7" s="278"/>
      <c r="D7" s="278"/>
      <c r="E7" s="278"/>
      <c r="F7" s="279">
        <v>1113870.2</v>
      </c>
      <c r="G7" s="279">
        <v>2232</v>
      </c>
      <c r="H7" s="279">
        <v>13625950.300000001</v>
      </c>
      <c r="I7" s="279">
        <v>0</v>
      </c>
      <c r="J7" s="279">
        <v>14834259.1</v>
      </c>
      <c r="K7" s="279">
        <v>47352.56</v>
      </c>
      <c r="L7" s="279">
        <v>0</v>
      </c>
      <c r="M7" s="279">
        <v>0</v>
      </c>
      <c r="N7" s="280">
        <v>5254738.18</v>
      </c>
      <c r="O7" s="280">
        <v>16897.599999999999</v>
      </c>
      <c r="P7" s="279">
        <v>28460209.399999999</v>
      </c>
      <c r="Q7" s="279">
        <v>47352.56</v>
      </c>
      <c r="R7" s="281">
        <v>29574079.600000001</v>
      </c>
      <c r="S7" s="282">
        <v>49584.88</v>
      </c>
      <c r="T7" s="172">
        <v>29574079.600000001</v>
      </c>
      <c r="U7" s="172">
        <v>15948129.299999999</v>
      </c>
    </row>
    <row r="8" spans="1:21" ht="20.399999999999999" x14ac:dyDescent="0.3">
      <c r="A8" s="278" t="s">
        <v>456</v>
      </c>
      <c r="B8" s="278" t="s">
        <v>10</v>
      </c>
      <c r="C8" s="278"/>
      <c r="D8" s="278"/>
      <c r="E8" s="278"/>
      <c r="F8" s="279">
        <v>56915003</v>
      </c>
      <c r="G8" s="279">
        <v>97513</v>
      </c>
      <c r="H8" s="279">
        <v>376632667</v>
      </c>
      <c r="I8" s="279">
        <v>136471</v>
      </c>
      <c r="J8" s="279">
        <v>421863758</v>
      </c>
      <c r="K8" s="279">
        <v>854524</v>
      </c>
      <c r="L8" s="279">
        <v>119513820</v>
      </c>
      <c r="M8" s="279">
        <v>194559</v>
      </c>
      <c r="N8" s="280">
        <v>310820090</v>
      </c>
      <c r="O8" s="280">
        <v>558916</v>
      </c>
      <c r="P8" s="279">
        <v>918010245</v>
      </c>
      <c r="Q8" s="279">
        <v>1185554</v>
      </c>
      <c r="R8" s="281">
        <v>974925248</v>
      </c>
      <c r="S8" s="282">
        <v>1283067</v>
      </c>
      <c r="T8" s="172">
        <v>855411428</v>
      </c>
      <c r="U8" s="172">
        <v>478778761</v>
      </c>
    </row>
    <row r="9" spans="1:21" x14ac:dyDescent="0.3">
      <c r="A9" s="278" t="s">
        <v>456</v>
      </c>
      <c r="B9" s="278" t="s">
        <v>11</v>
      </c>
      <c r="C9" s="278"/>
      <c r="D9" s="278"/>
      <c r="E9" s="278"/>
      <c r="F9" s="279">
        <v>164629761.88</v>
      </c>
      <c r="G9" s="279">
        <v>335779</v>
      </c>
      <c r="H9" s="279">
        <v>400456387.01999998</v>
      </c>
      <c r="I9" s="279">
        <v>95814.23</v>
      </c>
      <c r="J9" s="279">
        <v>381874018.63999999</v>
      </c>
      <c r="K9" s="279">
        <v>1039886.61</v>
      </c>
      <c r="L9" s="279">
        <v>47347679.009999998</v>
      </c>
      <c r="M9" s="279">
        <v>108645.51</v>
      </c>
      <c r="N9" s="280">
        <v>200352505</v>
      </c>
      <c r="O9" s="280">
        <v>453512</v>
      </c>
      <c r="P9" s="279">
        <v>829678084.66999996</v>
      </c>
      <c r="Q9" s="279">
        <v>1244346.3500000001</v>
      </c>
      <c r="R9" s="281">
        <v>994307846.54999995</v>
      </c>
      <c r="S9" s="282">
        <v>1580126.15</v>
      </c>
      <c r="T9" s="172">
        <v>946960167.53999996</v>
      </c>
      <c r="U9" s="172">
        <v>546503780.51999998</v>
      </c>
    </row>
    <row r="10" spans="1:21" x14ac:dyDescent="0.3">
      <c r="A10" s="278" t="s">
        <v>456</v>
      </c>
      <c r="B10" s="278" t="s">
        <v>12</v>
      </c>
      <c r="C10" s="278"/>
      <c r="D10" s="278"/>
      <c r="E10" s="278"/>
      <c r="F10" s="279">
        <v>145916367</v>
      </c>
      <c r="G10" s="279">
        <v>309090</v>
      </c>
      <c r="H10" s="279">
        <v>778072601</v>
      </c>
      <c r="I10" s="279">
        <v>356753</v>
      </c>
      <c r="J10" s="279">
        <v>606484940</v>
      </c>
      <c r="K10" s="279">
        <v>1669741</v>
      </c>
      <c r="L10" s="279">
        <v>0</v>
      </c>
      <c r="M10" s="279">
        <v>0</v>
      </c>
      <c r="N10" s="280">
        <v>193111332</v>
      </c>
      <c r="O10" s="280">
        <v>480613</v>
      </c>
      <c r="P10" s="279">
        <v>1384557541</v>
      </c>
      <c r="Q10" s="279">
        <v>2026494</v>
      </c>
      <c r="R10" s="281">
        <v>1530473908</v>
      </c>
      <c r="S10" s="282">
        <v>2335584</v>
      </c>
      <c r="T10" s="172">
        <v>1530473908</v>
      </c>
      <c r="U10" s="172">
        <v>752401307</v>
      </c>
    </row>
    <row r="11" spans="1:21" ht="20.399999999999999" x14ac:dyDescent="0.3">
      <c r="A11" s="278" t="s">
        <v>456</v>
      </c>
      <c r="B11" s="278" t="s">
        <v>13</v>
      </c>
      <c r="C11" s="278"/>
      <c r="D11" s="278"/>
      <c r="E11" s="278"/>
      <c r="F11" s="279">
        <v>26215439</v>
      </c>
      <c r="G11" s="279">
        <v>28711</v>
      </c>
      <c r="H11" s="279">
        <v>276529595</v>
      </c>
      <c r="I11" s="279">
        <v>47012</v>
      </c>
      <c r="J11" s="279">
        <v>165591892</v>
      </c>
      <c r="K11" s="279">
        <v>497662</v>
      </c>
      <c r="L11" s="279">
        <v>0</v>
      </c>
      <c r="M11" s="279">
        <v>0</v>
      </c>
      <c r="N11" s="280">
        <v>79045580</v>
      </c>
      <c r="O11" s="280">
        <v>243850</v>
      </c>
      <c r="P11" s="279">
        <v>442121487</v>
      </c>
      <c r="Q11" s="279">
        <v>544674</v>
      </c>
      <c r="R11" s="281">
        <v>468336926</v>
      </c>
      <c r="S11" s="282">
        <v>573385</v>
      </c>
      <c r="T11" s="172">
        <v>468336926</v>
      </c>
      <c r="U11" s="172">
        <v>191807331</v>
      </c>
    </row>
    <row r="12" spans="1:21" ht="20.399999999999999" x14ac:dyDescent="0.3">
      <c r="A12" s="278" t="s">
        <v>456</v>
      </c>
      <c r="B12" s="278" t="s">
        <v>14</v>
      </c>
      <c r="C12" s="278"/>
      <c r="D12" s="278"/>
      <c r="E12" s="278"/>
      <c r="F12" s="279">
        <v>14837635</v>
      </c>
      <c r="G12" s="279">
        <v>25820</v>
      </c>
      <c r="H12" s="279">
        <v>64685736.869999997</v>
      </c>
      <c r="I12" s="279">
        <v>5261.71</v>
      </c>
      <c r="J12" s="279">
        <v>57951295.149999999</v>
      </c>
      <c r="K12" s="279">
        <v>151886.26999999999</v>
      </c>
      <c r="L12" s="279">
        <v>2736305.22</v>
      </c>
      <c r="M12" s="279">
        <v>5130.53</v>
      </c>
      <c r="N12" s="280">
        <v>21983577.399999999</v>
      </c>
      <c r="O12" s="280">
        <v>52158.3</v>
      </c>
      <c r="P12" s="279">
        <v>125373337.23999999</v>
      </c>
      <c r="Q12" s="279">
        <v>162278.51</v>
      </c>
      <c r="R12" s="281">
        <v>140210972.24000001</v>
      </c>
      <c r="S12" s="282">
        <v>188098.84</v>
      </c>
      <c r="T12" s="172">
        <v>137474667.02000001</v>
      </c>
      <c r="U12" s="172">
        <v>72788930.150000006</v>
      </c>
    </row>
    <row r="13" spans="1:21" ht="20.399999999999999" x14ac:dyDescent="0.3">
      <c r="A13" s="278" t="s">
        <v>456</v>
      </c>
      <c r="B13" s="278" t="s">
        <v>15</v>
      </c>
      <c r="C13" s="278"/>
      <c r="D13" s="278"/>
      <c r="E13" s="278"/>
      <c r="F13" s="279">
        <v>514286</v>
      </c>
      <c r="G13" s="279">
        <v>1316</v>
      </c>
      <c r="H13" s="279">
        <v>19463336</v>
      </c>
      <c r="I13" s="279">
        <v>822</v>
      </c>
      <c r="J13" s="279">
        <v>5344967</v>
      </c>
      <c r="K13" s="279">
        <v>14434</v>
      </c>
      <c r="L13" s="279">
        <v>0</v>
      </c>
      <c r="M13" s="279">
        <v>0</v>
      </c>
      <c r="N13" s="280">
        <v>0</v>
      </c>
      <c r="O13" s="280">
        <v>0</v>
      </c>
      <c r="P13" s="279">
        <v>24808303</v>
      </c>
      <c r="Q13" s="279">
        <v>15256</v>
      </c>
      <c r="R13" s="281">
        <v>25322589</v>
      </c>
      <c r="S13" s="282">
        <v>16572</v>
      </c>
      <c r="T13" s="172">
        <v>25322589</v>
      </c>
      <c r="U13" s="172">
        <v>5859253</v>
      </c>
    </row>
    <row r="14" spans="1:21" ht="20.399999999999999" x14ac:dyDescent="0.3">
      <c r="A14" s="278" t="s">
        <v>456</v>
      </c>
      <c r="B14" s="278" t="s">
        <v>16</v>
      </c>
      <c r="C14" s="278"/>
      <c r="D14" s="278"/>
      <c r="E14" s="278"/>
      <c r="F14" s="279">
        <v>1012513</v>
      </c>
      <c r="G14" s="279">
        <v>0</v>
      </c>
      <c r="H14" s="279">
        <v>24987194</v>
      </c>
      <c r="I14" s="279">
        <v>0</v>
      </c>
      <c r="J14" s="279">
        <v>2622780</v>
      </c>
      <c r="K14" s="279">
        <v>11159</v>
      </c>
      <c r="L14" s="279">
        <v>0</v>
      </c>
      <c r="M14" s="279">
        <v>0</v>
      </c>
      <c r="N14" s="280">
        <v>0</v>
      </c>
      <c r="O14" s="280">
        <v>0</v>
      </c>
      <c r="P14" s="279">
        <v>27609974</v>
      </c>
      <c r="Q14" s="279">
        <v>11159</v>
      </c>
      <c r="R14" s="281">
        <v>28622487</v>
      </c>
      <c r="S14" s="282">
        <v>11159</v>
      </c>
      <c r="T14" s="172">
        <v>28622487</v>
      </c>
      <c r="U14" s="172">
        <v>3635293</v>
      </c>
    </row>
    <row r="15" spans="1:21" x14ac:dyDescent="0.3">
      <c r="A15" s="278" t="s">
        <v>456</v>
      </c>
      <c r="B15" s="278" t="s">
        <v>19</v>
      </c>
      <c r="C15" s="278"/>
      <c r="D15" s="278"/>
      <c r="E15" s="278"/>
      <c r="F15" s="279">
        <v>1</v>
      </c>
      <c r="G15" s="279">
        <v>1</v>
      </c>
      <c r="H15" s="279">
        <v>133941009</v>
      </c>
      <c r="I15" s="279">
        <v>8041</v>
      </c>
      <c r="J15" s="279">
        <v>108935713</v>
      </c>
      <c r="K15" s="279">
        <v>336339</v>
      </c>
      <c r="L15" s="279">
        <v>0</v>
      </c>
      <c r="M15" s="279">
        <v>0</v>
      </c>
      <c r="N15" s="280">
        <v>17721776</v>
      </c>
      <c r="O15" s="280">
        <v>59481</v>
      </c>
      <c r="P15" s="279">
        <v>242876722</v>
      </c>
      <c r="Q15" s="279">
        <v>344380</v>
      </c>
      <c r="R15" s="281">
        <v>242876723</v>
      </c>
      <c r="S15" s="282">
        <v>344381</v>
      </c>
      <c r="T15" s="172">
        <v>242876723</v>
      </c>
      <c r="U15" s="172">
        <v>108935714</v>
      </c>
    </row>
    <row r="16" spans="1:21" x14ac:dyDescent="0.3">
      <c r="A16" s="278" t="s">
        <v>456</v>
      </c>
      <c r="B16" s="278" t="s">
        <v>457</v>
      </c>
      <c r="C16" s="278"/>
      <c r="D16" s="278"/>
      <c r="E16" s="278"/>
      <c r="F16" s="279">
        <v>318181285</v>
      </c>
      <c r="G16" s="279">
        <v>566511</v>
      </c>
      <c r="H16" s="279">
        <v>1744143910</v>
      </c>
      <c r="I16" s="279">
        <v>368006</v>
      </c>
      <c r="J16" s="279">
        <v>1341784634</v>
      </c>
      <c r="K16" s="279">
        <v>2909032</v>
      </c>
      <c r="L16" s="279">
        <v>39344625</v>
      </c>
      <c r="M16" s="279">
        <v>67355</v>
      </c>
      <c r="N16" s="280">
        <v>737940260</v>
      </c>
      <c r="O16" s="280">
        <v>1384836</v>
      </c>
      <c r="P16" s="279">
        <v>3125273169</v>
      </c>
      <c r="Q16" s="279">
        <v>3344393</v>
      </c>
      <c r="R16" s="281">
        <v>3443454454</v>
      </c>
      <c r="S16" s="282">
        <v>3910904</v>
      </c>
      <c r="T16" s="172">
        <v>3404109829</v>
      </c>
      <c r="U16" s="172">
        <v>1659965919</v>
      </c>
    </row>
    <row r="17" spans="1:21" x14ac:dyDescent="0.3">
      <c r="A17" s="278" t="s">
        <v>456</v>
      </c>
      <c r="B17" s="278" t="s">
        <v>20</v>
      </c>
      <c r="C17" s="278"/>
      <c r="D17" s="278"/>
      <c r="E17" s="278"/>
      <c r="F17" s="279">
        <v>197509740</v>
      </c>
      <c r="G17" s="279">
        <v>445419</v>
      </c>
      <c r="H17" s="279">
        <v>700405544</v>
      </c>
      <c r="I17" s="279">
        <v>169125</v>
      </c>
      <c r="J17" s="279">
        <v>734133242</v>
      </c>
      <c r="K17" s="279">
        <v>1958091</v>
      </c>
      <c r="L17" s="279">
        <v>99467807</v>
      </c>
      <c r="M17" s="279">
        <v>182568</v>
      </c>
      <c r="N17" s="280">
        <v>337039077.63</v>
      </c>
      <c r="O17" s="280">
        <v>778284.87</v>
      </c>
      <c r="P17" s="279">
        <v>1534006593</v>
      </c>
      <c r="Q17" s="279">
        <v>2309784</v>
      </c>
      <c r="R17" s="281">
        <v>1731516333</v>
      </c>
      <c r="S17" s="282">
        <v>2755203</v>
      </c>
      <c r="T17" s="172">
        <v>1632048526</v>
      </c>
      <c r="U17" s="172">
        <v>931642982</v>
      </c>
    </row>
    <row r="18" spans="1:21" x14ac:dyDescent="0.3">
      <c r="A18" s="278" t="s">
        <v>456</v>
      </c>
      <c r="B18" s="278" t="s">
        <v>21</v>
      </c>
      <c r="C18" s="278"/>
      <c r="D18" s="278"/>
      <c r="E18" s="278"/>
      <c r="F18" s="279">
        <v>181981751</v>
      </c>
      <c r="G18" s="279">
        <v>334429</v>
      </c>
      <c r="H18" s="279">
        <v>555879995</v>
      </c>
      <c r="I18" s="279">
        <v>126304</v>
      </c>
      <c r="J18" s="279">
        <v>441669153</v>
      </c>
      <c r="K18" s="279">
        <v>1169047</v>
      </c>
      <c r="L18" s="279">
        <v>9715904</v>
      </c>
      <c r="M18" s="279">
        <v>27076</v>
      </c>
      <c r="N18" s="280">
        <v>281796954</v>
      </c>
      <c r="O18" s="280">
        <v>636519</v>
      </c>
      <c r="P18" s="279">
        <v>1007265052</v>
      </c>
      <c r="Q18" s="279">
        <v>1322427</v>
      </c>
      <c r="R18" s="281">
        <v>1189246803</v>
      </c>
      <c r="S18" s="282">
        <v>1656856</v>
      </c>
      <c r="T18" s="172">
        <v>1179530899</v>
      </c>
      <c r="U18" s="172">
        <v>623650904</v>
      </c>
    </row>
    <row r="19" spans="1:21" x14ac:dyDescent="0.3">
      <c r="A19" s="278" t="s">
        <v>456</v>
      </c>
      <c r="B19" s="278" t="s">
        <v>22</v>
      </c>
      <c r="C19" s="278"/>
      <c r="D19" s="278"/>
      <c r="E19" s="278"/>
      <c r="F19" s="279">
        <v>156056697.30000001</v>
      </c>
      <c r="G19" s="279">
        <v>308659</v>
      </c>
      <c r="H19" s="279">
        <v>935974729.39999998</v>
      </c>
      <c r="I19" s="279">
        <v>440320.92</v>
      </c>
      <c r="J19" s="279">
        <v>983867627.11000001</v>
      </c>
      <c r="K19" s="279">
        <v>2341663.38</v>
      </c>
      <c r="L19" s="279">
        <v>252977275.02000001</v>
      </c>
      <c r="M19" s="279">
        <v>461902.43</v>
      </c>
      <c r="N19" s="280">
        <v>594967199.22000003</v>
      </c>
      <c r="O19" s="280">
        <v>1283646</v>
      </c>
      <c r="P19" s="279">
        <v>2172819631.5300002</v>
      </c>
      <c r="Q19" s="279">
        <v>3243886.73</v>
      </c>
      <c r="R19" s="281">
        <v>2328876328.8299999</v>
      </c>
      <c r="S19" s="282">
        <v>3552546.43</v>
      </c>
      <c r="T19" s="172">
        <v>2075899053.8099999</v>
      </c>
      <c r="U19" s="172">
        <v>1139924324.4100001</v>
      </c>
    </row>
    <row r="20" spans="1:21" ht="20.399999999999999" x14ac:dyDescent="0.3">
      <c r="A20" s="278" t="s">
        <v>456</v>
      </c>
      <c r="B20" s="278" t="s">
        <v>23</v>
      </c>
      <c r="C20" s="278"/>
      <c r="D20" s="278"/>
      <c r="E20" s="278"/>
      <c r="F20" s="279">
        <v>34787516.049999997</v>
      </c>
      <c r="G20" s="279">
        <v>55257</v>
      </c>
      <c r="H20" s="279">
        <v>167778936.75999999</v>
      </c>
      <c r="I20" s="279">
        <v>15532.21</v>
      </c>
      <c r="J20" s="279">
        <v>98194115.799999997</v>
      </c>
      <c r="K20" s="279">
        <v>235156.08</v>
      </c>
      <c r="L20" s="279">
        <v>2541775.7000000002</v>
      </c>
      <c r="M20" s="279">
        <v>4895.04</v>
      </c>
      <c r="N20" s="280">
        <v>55254523.149999999</v>
      </c>
      <c r="O20" s="280">
        <v>17544</v>
      </c>
      <c r="P20" s="279">
        <v>268514828.25999999</v>
      </c>
      <c r="Q20" s="279">
        <v>255583.33</v>
      </c>
      <c r="R20" s="281">
        <v>303302344.31</v>
      </c>
      <c r="S20" s="282">
        <v>310841.14</v>
      </c>
      <c r="T20" s="172">
        <v>300760568.61000001</v>
      </c>
      <c r="U20" s="172">
        <v>132981631.84999999</v>
      </c>
    </row>
    <row r="21" spans="1:21" x14ac:dyDescent="0.3">
      <c r="A21" s="278" t="s">
        <v>456</v>
      </c>
      <c r="B21" s="278" t="s">
        <v>458</v>
      </c>
      <c r="C21" s="278"/>
      <c r="D21" s="278"/>
      <c r="E21" s="278"/>
      <c r="F21" s="279">
        <v>69980266.239999995</v>
      </c>
      <c r="G21" s="279">
        <v>128590</v>
      </c>
      <c r="H21" s="279">
        <v>224238428.83000001</v>
      </c>
      <c r="I21" s="279">
        <v>39101</v>
      </c>
      <c r="J21" s="279">
        <v>297045778.07999998</v>
      </c>
      <c r="K21" s="279">
        <v>649381</v>
      </c>
      <c r="L21" s="279">
        <v>73939748</v>
      </c>
      <c r="M21" s="279">
        <v>189938.85</v>
      </c>
      <c r="N21" s="280">
        <v>222781062.90000001</v>
      </c>
      <c r="O21" s="280">
        <v>422219.6</v>
      </c>
      <c r="P21" s="279">
        <v>595223954.90999997</v>
      </c>
      <c r="Q21" s="279">
        <v>878420.85</v>
      </c>
      <c r="R21" s="281">
        <v>665204221.14999998</v>
      </c>
      <c r="S21" s="282">
        <v>1007011.78</v>
      </c>
      <c r="T21" s="172">
        <v>591264473.14999998</v>
      </c>
      <c r="U21" s="172">
        <v>367026044.31999999</v>
      </c>
    </row>
    <row r="22" spans="1:21" ht="20.399999999999999" x14ac:dyDescent="0.3">
      <c r="A22" s="278" t="s">
        <v>456</v>
      </c>
      <c r="B22" s="278" t="s">
        <v>26</v>
      </c>
      <c r="C22" s="278"/>
      <c r="D22" s="278"/>
      <c r="E22" s="278"/>
      <c r="F22" s="279">
        <v>7836135.0899999999</v>
      </c>
      <c r="G22" s="279">
        <v>0</v>
      </c>
      <c r="H22" s="279">
        <v>41367424.100000001</v>
      </c>
      <c r="I22" s="279">
        <v>3347.22</v>
      </c>
      <c r="J22" s="279">
        <v>8228965</v>
      </c>
      <c r="K22" s="279">
        <v>20370.599999999999</v>
      </c>
      <c r="L22" s="279">
        <v>0</v>
      </c>
      <c r="M22" s="279">
        <v>0</v>
      </c>
      <c r="N22" s="280">
        <v>0</v>
      </c>
      <c r="O22" s="280">
        <v>0</v>
      </c>
      <c r="P22" s="279">
        <v>49596389.100000001</v>
      </c>
      <c r="Q22" s="279">
        <v>23717.82</v>
      </c>
      <c r="R22" s="281">
        <v>57432524.189999998</v>
      </c>
      <c r="S22" s="282">
        <v>23717.82</v>
      </c>
      <c r="T22" s="172">
        <v>57432524.189999998</v>
      </c>
      <c r="U22" s="172">
        <v>16065100.09</v>
      </c>
    </row>
    <row r="23" spans="1:21" ht="20.399999999999999" x14ac:dyDescent="0.3">
      <c r="A23" s="278" t="s">
        <v>456</v>
      </c>
      <c r="B23" s="278" t="s">
        <v>27</v>
      </c>
      <c r="C23" s="278"/>
      <c r="D23" s="278"/>
      <c r="E23" s="278"/>
      <c r="F23" s="279">
        <v>67983579.459999993</v>
      </c>
      <c r="G23" s="279">
        <v>177397</v>
      </c>
      <c r="H23" s="279">
        <v>323143908.95999998</v>
      </c>
      <c r="I23" s="279">
        <v>69860.710000000006</v>
      </c>
      <c r="J23" s="279">
        <v>136902898.41999999</v>
      </c>
      <c r="K23" s="279">
        <v>373002.38</v>
      </c>
      <c r="L23" s="279">
        <v>10041533.609999999</v>
      </c>
      <c r="M23" s="279">
        <v>19024.29</v>
      </c>
      <c r="N23" s="280">
        <v>17770355.170000002</v>
      </c>
      <c r="O23" s="280">
        <v>45159.35</v>
      </c>
      <c r="P23" s="279">
        <v>470088340.99000001</v>
      </c>
      <c r="Q23" s="279">
        <v>461887.38</v>
      </c>
      <c r="R23" s="281">
        <v>538071920.45000005</v>
      </c>
      <c r="S23" s="282">
        <v>639285.35</v>
      </c>
      <c r="T23" s="172">
        <v>528030386.83999991</v>
      </c>
      <c r="U23" s="172">
        <v>204886477.88</v>
      </c>
    </row>
    <row r="24" spans="1:21" x14ac:dyDescent="0.3">
      <c r="A24" s="278" t="s">
        <v>456</v>
      </c>
      <c r="B24" s="278" t="s">
        <v>28</v>
      </c>
      <c r="C24" s="278"/>
      <c r="D24" s="278"/>
      <c r="E24" s="278"/>
      <c r="F24" s="279">
        <v>84201027</v>
      </c>
      <c r="G24" s="279">
        <v>226801</v>
      </c>
      <c r="H24" s="279">
        <v>203073047</v>
      </c>
      <c r="I24" s="279">
        <v>47219</v>
      </c>
      <c r="J24" s="279">
        <v>319713797</v>
      </c>
      <c r="K24" s="279">
        <v>693615</v>
      </c>
      <c r="L24" s="279">
        <v>3611938</v>
      </c>
      <c r="M24" s="279">
        <v>52613</v>
      </c>
      <c r="N24" s="280">
        <v>277827791</v>
      </c>
      <c r="O24" s="280">
        <v>601783</v>
      </c>
      <c r="P24" s="279">
        <v>526398782</v>
      </c>
      <c r="Q24" s="279">
        <v>793447</v>
      </c>
      <c r="R24" s="281">
        <v>610599809</v>
      </c>
      <c r="S24" s="282">
        <v>1020248</v>
      </c>
      <c r="T24" s="172">
        <v>606987871</v>
      </c>
      <c r="U24" s="172">
        <v>403914824</v>
      </c>
    </row>
    <row r="25" spans="1:21" ht="20.399999999999999" x14ac:dyDescent="0.3">
      <c r="A25" s="278" t="s">
        <v>456</v>
      </c>
      <c r="B25" s="278" t="s">
        <v>29</v>
      </c>
      <c r="C25" s="278"/>
      <c r="D25" s="278"/>
      <c r="E25" s="278"/>
      <c r="F25" s="279">
        <v>436518</v>
      </c>
      <c r="G25" s="279">
        <v>0</v>
      </c>
      <c r="H25" s="279">
        <v>55949876</v>
      </c>
      <c r="I25" s="279">
        <v>0</v>
      </c>
      <c r="J25" s="279">
        <v>17106600</v>
      </c>
      <c r="K25" s="279">
        <v>50053</v>
      </c>
      <c r="L25" s="279">
        <v>0</v>
      </c>
      <c r="M25" s="279">
        <v>0</v>
      </c>
      <c r="N25" s="280">
        <v>0</v>
      </c>
      <c r="O25" s="280">
        <v>0</v>
      </c>
      <c r="P25" s="279">
        <v>73056476</v>
      </c>
      <c r="Q25" s="279">
        <v>50053</v>
      </c>
      <c r="R25" s="281">
        <v>73492994</v>
      </c>
      <c r="S25" s="282">
        <v>50053</v>
      </c>
      <c r="T25" s="172">
        <v>73492994</v>
      </c>
      <c r="U25" s="172">
        <v>17543118</v>
      </c>
    </row>
    <row r="26" spans="1:21" ht="20.399999999999999" x14ac:dyDescent="0.3">
      <c r="A26" s="278" t="s">
        <v>456</v>
      </c>
      <c r="B26" s="278" t="s">
        <v>30</v>
      </c>
      <c r="C26" s="278"/>
      <c r="D26" s="278"/>
      <c r="E26" s="278"/>
      <c r="F26" s="279">
        <v>86350871.950000003</v>
      </c>
      <c r="G26" s="279">
        <v>133470</v>
      </c>
      <c r="H26" s="279">
        <v>542415991.69000006</v>
      </c>
      <c r="I26" s="279">
        <v>177297.38</v>
      </c>
      <c r="J26" s="279">
        <v>238838440.49000001</v>
      </c>
      <c r="K26" s="279">
        <v>550558.71999999997</v>
      </c>
      <c r="L26" s="279">
        <v>3377730.4</v>
      </c>
      <c r="M26" s="279">
        <v>6216.86</v>
      </c>
      <c r="N26" s="280">
        <v>72271401.900000006</v>
      </c>
      <c r="O26" s="280">
        <v>138882.47</v>
      </c>
      <c r="P26" s="279">
        <v>784632162.58000004</v>
      </c>
      <c r="Q26" s="279">
        <v>734072.96</v>
      </c>
      <c r="R26" s="281">
        <v>870983034.52999997</v>
      </c>
      <c r="S26" s="282">
        <v>867543.03</v>
      </c>
      <c r="T26" s="172">
        <v>867605304.13000011</v>
      </c>
      <c r="U26" s="172">
        <v>325189312.44</v>
      </c>
    </row>
    <row r="27" spans="1:21" ht="20.399999999999999" x14ac:dyDescent="0.3">
      <c r="A27" s="278" t="s">
        <v>456</v>
      </c>
      <c r="B27" s="278" t="s">
        <v>31</v>
      </c>
      <c r="C27" s="278"/>
      <c r="D27" s="278"/>
      <c r="E27" s="278"/>
      <c r="F27" s="279">
        <v>18006631.059999999</v>
      </c>
      <c r="G27" s="279">
        <v>33032</v>
      </c>
      <c r="H27" s="279">
        <v>112954906.48</v>
      </c>
      <c r="I27" s="279">
        <v>14858.03</v>
      </c>
      <c r="J27" s="279">
        <v>95200511.540000007</v>
      </c>
      <c r="K27" s="279">
        <v>268524.65000000002</v>
      </c>
      <c r="L27" s="279">
        <v>3311799.6</v>
      </c>
      <c r="M27" s="279">
        <v>6616.78</v>
      </c>
      <c r="N27" s="280">
        <v>3590576.2</v>
      </c>
      <c r="O27" s="280">
        <v>8929.84</v>
      </c>
      <c r="P27" s="279">
        <v>211467217.62</v>
      </c>
      <c r="Q27" s="279">
        <v>289999.46000000002</v>
      </c>
      <c r="R27" s="281">
        <v>229473848.68000001</v>
      </c>
      <c r="S27" s="282">
        <v>323031.46000000002</v>
      </c>
      <c r="T27" s="172">
        <v>226162049.08000001</v>
      </c>
      <c r="U27" s="172">
        <v>113207142.60000001</v>
      </c>
    </row>
    <row r="28" spans="1:21" x14ac:dyDescent="0.3">
      <c r="A28" s="278" t="s">
        <v>456</v>
      </c>
      <c r="B28" s="278" t="s">
        <v>32</v>
      </c>
      <c r="C28" s="278"/>
      <c r="D28" s="278"/>
      <c r="E28" s="278"/>
      <c r="F28" s="279">
        <v>60788935</v>
      </c>
      <c r="G28" s="279">
        <v>122583</v>
      </c>
      <c r="H28" s="279">
        <v>253507410</v>
      </c>
      <c r="I28" s="279">
        <v>35596</v>
      </c>
      <c r="J28" s="279">
        <v>176011397</v>
      </c>
      <c r="K28" s="279">
        <v>475608</v>
      </c>
      <c r="L28" s="279">
        <v>3652820</v>
      </c>
      <c r="M28" s="279">
        <v>7699</v>
      </c>
      <c r="N28" s="280">
        <v>72582256</v>
      </c>
      <c r="O28" s="280">
        <v>161438</v>
      </c>
      <c r="P28" s="279">
        <v>433171627</v>
      </c>
      <c r="Q28" s="279">
        <v>518903</v>
      </c>
      <c r="R28" s="281">
        <v>493960562</v>
      </c>
      <c r="S28" s="282">
        <v>641486</v>
      </c>
      <c r="T28" s="172">
        <v>490307742</v>
      </c>
      <c r="U28" s="172">
        <v>236800332</v>
      </c>
    </row>
    <row r="29" spans="1:21" ht="20.399999999999999" x14ac:dyDescent="0.3">
      <c r="A29" s="278" t="s">
        <v>456</v>
      </c>
      <c r="B29" s="278" t="s">
        <v>33</v>
      </c>
      <c r="C29" s="278"/>
      <c r="D29" s="278"/>
      <c r="E29" s="278"/>
      <c r="F29" s="279">
        <v>1626424.74</v>
      </c>
      <c r="G29" s="279">
        <v>2829</v>
      </c>
      <c r="H29" s="279">
        <v>35887562.560000002</v>
      </c>
      <c r="I29" s="279">
        <v>10706.3</v>
      </c>
      <c r="J29" s="279">
        <v>40234088.710000001</v>
      </c>
      <c r="K29" s="279">
        <v>115295.03</v>
      </c>
      <c r="L29" s="279">
        <v>0</v>
      </c>
      <c r="M29" s="279">
        <v>0</v>
      </c>
      <c r="N29" s="280">
        <v>28186955.260000002</v>
      </c>
      <c r="O29" s="280">
        <v>84187.66</v>
      </c>
      <c r="P29" s="279">
        <v>76121651.269999996</v>
      </c>
      <c r="Q29" s="279">
        <v>126001.33</v>
      </c>
      <c r="R29" s="281">
        <v>77748076.010000005</v>
      </c>
      <c r="S29" s="282">
        <v>128830.81</v>
      </c>
      <c r="T29" s="172">
        <v>77748076.010000005</v>
      </c>
      <c r="U29" s="172">
        <v>41860513.450000003</v>
      </c>
    </row>
    <row r="30" spans="1:21" x14ac:dyDescent="0.3">
      <c r="A30" s="278" t="s">
        <v>456</v>
      </c>
      <c r="B30" s="278" t="s">
        <v>34</v>
      </c>
      <c r="C30" s="278"/>
      <c r="D30" s="278"/>
      <c r="E30" s="278"/>
      <c r="F30" s="279">
        <v>841285</v>
      </c>
      <c r="G30" s="279">
        <v>0</v>
      </c>
      <c r="H30" s="279">
        <v>17072356</v>
      </c>
      <c r="I30" s="279">
        <v>0</v>
      </c>
      <c r="J30" s="279">
        <v>3077103</v>
      </c>
      <c r="K30" s="279">
        <v>10710.11</v>
      </c>
      <c r="L30" s="279">
        <v>0</v>
      </c>
      <c r="M30" s="279">
        <v>0</v>
      </c>
      <c r="N30" s="280">
        <v>0</v>
      </c>
      <c r="O30" s="280">
        <v>0</v>
      </c>
      <c r="P30" s="279">
        <v>20149459</v>
      </c>
      <c r="Q30" s="279">
        <v>10710.11</v>
      </c>
      <c r="R30" s="281">
        <v>20990744</v>
      </c>
      <c r="S30" s="282">
        <v>10710.11</v>
      </c>
      <c r="T30" s="172">
        <v>20990744</v>
      </c>
      <c r="U30" s="172">
        <v>3918388</v>
      </c>
    </row>
    <row r="31" spans="1:21" x14ac:dyDescent="0.3">
      <c r="A31" s="278" t="s">
        <v>456</v>
      </c>
      <c r="B31" s="278" t="s">
        <v>35</v>
      </c>
      <c r="C31" s="278"/>
      <c r="D31" s="278"/>
      <c r="E31" s="278"/>
      <c r="F31" s="279">
        <v>14076109</v>
      </c>
      <c r="G31" s="279">
        <v>20304</v>
      </c>
      <c r="H31" s="279">
        <v>63970070</v>
      </c>
      <c r="I31" s="279">
        <v>158</v>
      </c>
      <c r="J31" s="279">
        <v>63225182</v>
      </c>
      <c r="K31" s="279">
        <v>163584</v>
      </c>
      <c r="L31" s="279">
        <v>0</v>
      </c>
      <c r="M31" s="279">
        <v>0</v>
      </c>
      <c r="N31" s="280">
        <v>13264976</v>
      </c>
      <c r="O31" s="280">
        <v>29926</v>
      </c>
      <c r="P31" s="279">
        <v>127195252</v>
      </c>
      <c r="Q31" s="279">
        <v>163742</v>
      </c>
      <c r="R31" s="281">
        <v>141271361</v>
      </c>
      <c r="S31" s="282">
        <v>184046</v>
      </c>
      <c r="T31" s="172">
        <v>141271361</v>
      </c>
      <c r="U31" s="172">
        <v>77301291</v>
      </c>
    </row>
    <row r="32" spans="1:21" x14ac:dyDescent="0.3">
      <c r="A32" s="278" t="s">
        <v>456</v>
      </c>
      <c r="B32" s="278" t="s">
        <v>36</v>
      </c>
      <c r="C32" s="278"/>
      <c r="D32" s="278"/>
      <c r="E32" s="278"/>
      <c r="F32" s="279">
        <v>2630536220.29</v>
      </c>
      <c r="G32" s="279">
        <v>4515674</v>
      </c>
      <c r="H32" s="279">
        <v>15252207483.3424</v>
      </c>
      <c r="I32" s="279">
        <v>1910702.1535132001</v>
      </c>
      <c r="J32" s="279">
        <v>7790519231.28549</v>
      </c>
      <c r="K32" s="279">
        <v>21618089.461800002</v>
      </c>
      <c r="L32" s="279">
        <v>10070502214.591999</v>
      </c>
      <c r="M32" s="279">
        <v>20339525.256999999</v>
      </c>
      <c r="N32" s="280">
        <v>3975247802</v>
      </c>
      <c r="O32" s="280">
        <v>738992</v>
      </c>
      <c r="P32" s="279">
        <v>33113228929.219898</v>
      </c>
      <c r="Q32" s="279">
        <v>43868316.872313201</v>
      </c>
      <c r="R32" s="281">
        <v>35743765149.509903</v>
      </c>
      <c r="S32" s="282">
        <v>48383991.512313202</v>
      </c>
      <c r="T32" s="172">
        <v>25673262934.917892</v>
      </c>
      <c r="U32" s="172">
        <v>10421055451.575489</v>
      </c>
    </row>
    <row r="33" spans="1:21" ht="20.399999999999999" x14ac:dyDescent="0.3">
      <c r="A33" s="278" t="s">
        <v>456</v>
      </c>
      <c r="B33" s="278" t="s">
        <v>37</v>
      </c>
      <c r="C33" s="278"/>
      <c r="D33" s="278"/>
      <c r="E33" s="278"/>
      <c r="F33" s="279">
        <v>0</v>
      </c>
      <c r="G33" s="279">
        <v>0</v>
      </c>
      <c r="H33" s="279">
        <v>0</v>
      </c>
      <c r="I33" s="279">
        <v>0</v>
      </c>
      <c r="J33" s="279">
        <v>0</v>
      </c>
      <c r="K33" s="279">
        <v>0</v>
      </c>
      <c r="L33" s="279">
        <v>0</v>
      </c>
      <c r="M33" s="279">
        <v>0</v>
      </c>
      <c r="N33" s="280">
        <v>0</v>
      </c>
      <c r="O33" s="280">
        <v>0</v>
      </c>
      <c r="P33" s="279">
        <v>0</v>
      </c>
      <c r="Q33" s="279">
        <v>0</v>
      </c>
      <c r="R33" s="281">
        <v>0</v>
      </c>
      <c r="S33" s="282">
        <v>0</v>
      </c>
      <c r="T33" s="172">
        <v>0</v>
      </c>
      <c r="U33" s="172">
        <v>0</v>
      </c>
    </row>
    <row r="34" spans="1:21" x14ac:dyDescent="0.3">
      <c r="A34" s="278" t="s">
        <v>456</v>
      </c>
      <c r="B34" s="278" t="s">
        <v>38</v>
      </c>
      <c r="C34" s="278"/>
      <c r="D34" s="278"/>
      <c r="E34" s="278"/>
      <c r="F34" s="279">
        <v>497448293</v>
      </c>
      <c r="G34" s="279">
        <v>814147</v>
      </c>
      <c r="H34" s="279">
        <v>3195741529</v>
      </c>
      <c r="I34" s="279">
        <v>857805</v>
      </c>
      <c r="J34" s="279">
        <v>3542769011</v>
      </c>
      <c r="K34" s="279">
        <v>7864706</v>
      </c>
      <c r="L34" s="279">
        <v>32832434</v>
      </c>
      <c r="M34" s="279">
        <v>103645</v>
      </c>
      <c r="N34" s="280">
        <v>1326677094</v>
      </c>
      <c r="O34" s="280">
        <v>2554373</v>
      </c>
      <c r="P34" s="279">
        <v>6771342974</v>
      </c>
      <c r="Q34" s="279">
        <v>8826156</v>
      </c>
      <c r="R34" s="281">
        <v>7268791267</v>
      </c>
      <c r="S34" s="282">
        <v>9640303</v>
      </c>
      <c r="T34" s="172">
        <v>7235958833</v>
      </c>
      <c r="U34" s="172">
        <v>4040217304</v>
      </c>
    </row>
    <row r="35" spans="1:21" x14ac:dyDescent="0.3">
      <c r="A35" s="278" t="s">
        <v>456</v>
      </c>
      <c r="B35" s="278" t="s">
        <v>39</v>
      </c>
      <c r="C35" s="278"/>
      <c r="D35" s="278"/>
      <c r="E35" s="278"/>
      <c r="F35" s="279">
        <v>14133795.890000001</v>
      </c>
      <c r="G35" s="279">
        <v>17796</v>
      </c>
      <c r="H35" s="279">
        <v>196656060.56999999</v>
      </c>
      <c r="I35" s="279">
        <v>9167.7999999999993</v>
      </c>
      <c r="J35" s="279">
        <v>59308495.439999998</v>
      </c>
      <c r="K35" s="279">
        <v>139443.53</v>
      </c>
      <c r="L35" s="279">
        <v>0</v>
      </c>
      <c r="M35" s="279">
        <v>0</v>
      </c>
      <c r="N35" s="280">
        <v>10965508.560000001</v>
      </c>
      <c r="O35" s="280">
        <v>22955.62</v>
      </c>
      <c r="P35" s="279">
        <v>255964556.00999999</v>
      </c>
      <c r="Q35" s="279">
        <v>148611.32999999999</v>
      </c>
      <c r="R35" s="281">
        <v>270098351.89999998</v>
      </c>
      <c r="S35" s="282">
        <v>166408.22</v>
      </c>
      <c r="T35" s="172">
        <v>270098351.89999998</v>
      </c>
      <c r="U35" s="172">
        <v>73442291.329999998</v>
      </c>
    </row>
    <row r="36" spans="1:21" ht="20.399999999999999" x14ac:dyDescent="0.3">
      <c r="A36" s="278" t="s">
        <v>456</v>
      </c>
      <c r="B36" s="278" t="s">
        <v>40</v>
      </c>
      <c r="C36" s="278"/>
      <c r="D36" s="278"/>
      <c r="E36" s="278"/>
      <c r="F36" s="279">
        <v>114698392.53</v>
      </c>
      <c r="G36" s="279">
        <v>206960</v>
      </c>
      <c r="H36" s="279">
        <v>270234716.30000001</v>
      </c>
      <c r="I36" s="279">
        <v>87675.89</v>
      </c>
      <c r="J36" s="279">
        <v>307279580.10000002</v>
      </c>
      <c r="K36" s="279">
        <v>618936.47</v>
      </c>
      <c r="L36" s="279">
        <v>3672307.71</v>
      </c>
      <c r="M36" s="279">
        <v>6469.39</v>
      </c>
      <c r="N36" s="280">
        <v>189867289.18000001</v>
      </c>
      <c r="O36" s="280">
        <v>366171.6</v>
      </c>
      <c r="P36" s="279">
        <v>581186604.11000001</v>
      </c>
      <c r="Q36" s="279">
        <v>713081.75</v>
      </c>
      <c r="R36" s="281">
        <v>695884996.63999999</v>
      </c>
      <c r="S36" s="282">
        <v>920042.48</v>
      </c>
      <c r="T36" s="172">
        <v>692212688.93000007</v>
      </c>
      <c r="U36" s="172">
        <v>421977972.63</v>
      </c>
    </row>
    <row r="37" spans="1:21" ht="20.399999999999999" x14ac:dyDescent="0.3">
      <c r="A37" s="278" t="s">
        <v>456</v>
      </c>
      <c r="B37" s="278" t="s">
        <v>41</v>
      </c>
      <c r="C37" s="278"/>
      <c r="D37" s="278"/>
      <c r="E37" s="278"/>
      <c r="F37" s="279">
        <v>206553534.4472</v>
      </c>
      <c r="G37" s="279">
        <v>444843</v>
      </c>
      <c r="H37" s="279">
        <v>971533977.16040003</v>
      </c>
      <c r="I37" s="279">
        <v>0</v>
      </c>
      <c r="J37" s="279">
        <v>574722418.59560001</v>
      </c>
      <c r="K37" s="279">
        <v>1767493.32</v>
      </c>
      <c r="L37" s="279">
        <v>32138347.3123</v>
      </c>
      <c r="M37" s="279">
        <v>80867.899999999994</v>
      </c>
      <c r="N37" s="280">
        <v>232087654.24599999</v>
      </c>
      <c r="O37" s="280">
        <v>569239.61</v>
      </c>
      <c r="P37" s="279">
        <v>1578394743.0683</v>
      </c>
      <c r="Q37" s="279">
        <v>1848361.22</v>
      </c>
      <c r="R37" s="281">
        <v>1784948277.5155001</v>
      </c>
      <c r="S37" s="282">
        <v>2293205.0299999998</v>
      </c>
      <c r="T37" s="172">
        <v>1752809930.2031999</v>
      </c>
      <c r="U37" s="172">
        <v>781275953.04279995</v>
      </c>
    </row>
    <row r="38" spans="1:21" x14ac:dyDescent="0.3">
      <c r="A38" s="278" t="s">
        <v>456</v>
      </c>
      <c r="B38" s="278" t="s">
        <v>42</v>
      </c>
      <c r="C38" s="278"/>
      <c r="D38" s="278"/>
      <c r="E38" s="278"/>
      <c r="F38" s="279">
        <v>52843807.740000002</v>
      </c>
      <c r="G38" s="279">
        <v>103743</v>
      </c>
      <c r="H38" s="279">
        <v>110491127.04000001</v>
      </c>
      <c r="I38" s="279">
        <v>33508.32</v>
      </c>
      <c r="J38" s="279">
        <v>75387582.030000001</v>
      </c>
      <c r="K38" s="279">
        <v>204420.04</v>
      </c>
      <c r="L38" s="279">
        <v>0</v>
      </c>
      <c r="M38" s="279">
        <v>0</v>
      </c>
      <c r="N38" s="280">
        <v>71074772.219999999</v>
      </c>
      <c r="O38" s="280">
        <v>153227.87</v>
      </c>
      <c r="P38" s="279">
        <v>185878709.06999999</v>
      </c>
      <c r="Q38" s="279">
        <v>237928.36</v>
      </c>
      <c r="R38" s="281">
        <v>238722516.81</v>
      </c>
      <c r="S38" s="282">
        <v>341672.33</v>
      </c>
      <c r="T38" s="172">
        <v>238722516.81</v>
      </c>
      <c r="U38" s="172">
        <v>128231389.77000001</v>
      </c>
    </row>
    <row r="39" spans="1:21" ht="20.399999999999999" x14ac:dyDescent="0.3">
      <c r="A39" s="278" t="s">
        <v>456</v>
      </c>
      <c r="B39" s="278" t="s">
        <v>43</v>
      </c>
      <c r="C39" s="278"/>
      <c r="D39" s="278"/>
      <c r="E39" s="278"/>
      <c r="F39" s="279">
        <v>35794243.369999997</v>
      </c>
      <c r="G39" s="279">
        <v>56606</v>
      </c>
      <c r="H39" s="279">
        <v>163693356.72</v>
      </c>
      <c r="I39" s="279">
        <v>15590.97</v>
      </c>
      <c r="J39" s="279">
        <v>92005365.840000004</v>
      </c>
      <c r="K39" s="279">
        <v>224301.09</v>
      </c>
      <c r="L39" s="279">
        <v>0</v>
      </c>
      <c r="M39" s="279">
        <v>0</v>
      </c>
      <c r="N39" s="280">
        <v>40625025.560000002</v>
      </c>
      <c r="O39" s="280">
        <v>92159.06</v>
      </c>
      <c r="P39" s="279">
        <v>255698722.56</v>
      </c>
      <c r="Q39" s="279">
        <v>239892.06</v>
      </c>
      <c r="R39" s="281">
        <v>291492965.93000001</v>
      </c>
      <c r="S39" s="282">
        <v>296498.82</v>
      </c>
      <c r="T39" s="172">
        <v>291492965.93000001</v>
      </c>
      <c r="U39" s="172">
        <v>127799609.21000001</v>
      </c>
    </row>
    <row r="40" spans="1:21" x14ac:dyDescent="0.3">
      <c r="A40" s="278" t="s">
        <v>456</v>
      </c>
      <c r="B40" s="278" t="s">
        <v>44</v>
      </c>
      <c r="C40" s="278"/>
      <c r="D40" s="278"/>
      <c r="E40" s="278"/>
      <c r="F40" s="279">
        <v>268954633.24000001</v>
      </c>
      <c r="G40" s="279">
        <v>491144</v>
      </c>
      <c r="H40" s="279">
        <v>1554894976.1900001</v>
      </c>
      <c r="I40" s="279">
        <v>338174.31</v>
      </c>
      <c r="J40" s="279">
        <v>1281634538.5999999</v>
      </c>
      <c r="K40" s="279">
        <v>3305022.14</v>
      </c>
      <c r="L40" s="279">
        <v>14578191.91</v>
      </c>
      <c r="M40" s="279">
        <v>26585.78</v>
      </c>
      <c r="N40" s="280">
        <v>544777056.51999998</v>
      </c>
      <c r="O40" s="280">
        <v>1209692.57</v>
      </c>
      <c r="P40" s="279">
        <v>2851107706.6999998</v>
      </c>
      <c r="Q40" s="279">
        <v>3669782.23</v>
      </c>
      <c r="R40" s="281">
        <v>3120062339.9400001</v>
      </c>
      <c r="S40" s="282">
        <v>4160926.71</v>
      </c>
      <c r="T40" s="172">
        <v>3105484148.0299997</v>
      </c>
      <c r="U40" s="172">
        <v>1550589171.8399999</v>
      </c>
    </row>
    <row r="41" spans="1:21" ht="20.399999999999999" x14ac:dyDescent="0.3">
      <c r="A41" s="278" t="s">
        <v>456</v>
      </c>
      <c r="B41" s="278" t="s">
        <v>0</v>
      </c>
      <c r="C41" s="278"/>
      <c r="D41" s="278"/>
      <c r="E41" s="278"/>
      <c r="F41" s="279">
        <v>53496024</v>
      </c>
      <c r="G41" s="279">
        <v>84345</v>
      </c>
      <c r="H41" s="279">
        <v>408175994</v>
      </c>
      <c r="I41" s="279">
        <v>86143</v>
      </c>
      <c r="J41" s="279">
        <v>446349358</v>
      </c>
      <c r="K41" s="279">
        <v>1010727</v>
      </c>
      <c r="L41" s="279">
        <v>4419712</v>
      </c>
      <c r="M41" s="279">
        <v>9228</v>
      </c>
      <c r="N41" s="280">
        <v>276753344</v>
      </c>
      <c r="O41" s="280">
        <v>553511</v>
      </c>
      <c r="P41" s="279">
        <v>858945064</v>
      </c>
      <c r="Q41" s="279">
        <v>1106098</v>
      </c>
      <c r="R41" s="281">
        <v>912441088</v>
      </c>
      <c r="S41" s="282">
        <v>1190443</v>
      </c>
      <c r="T41" s="172">
        <v>908021376</v>
      </c>
      <c r="U41" s="172">
        <v>499845382</v>
      </c>
    </row>
    <row r="42" spans="1:21" ht="20.399999999999999" x14ac:dyDescent="0.3">
      <c r="A42" s="278" t="s">
        <v>456</v>
      </c>
      <c r="B42" s="278" t="s">
        <v>45</v>
      </c>
      <c r="C42" s="278"/>
      <c r="D42" s="278"/>
      <c r="E42" s="278"/>
      <c r="F42" s="279">
        <v>96191415</v>
      </c>
      <c r="G42" s="279">
        <v>169792</v>
      </c>
      <c r="H42" s="279">
        <v>440109771</v>
      </c>
      <c r="I42" s="279">
        <v>124566</v>
      </c>
      <c r="J42" s="279">
        <v>278015871</v>
      </c>
      <c r="K42" s="279">
        <v>668164</v>
      </c>
      <c r="L42" s="279">
        <v>10276031</v>
      </c>
      <c r="M42" s="279">
        <v>50468</v>
      </c>
      <c r="N42" s="280">
        <v>124824783</v>
      </c>
      <c r="O42" s="280">
        <v>264638</v>
      </c>
      <c r="P42" s="279">
        <v>728401673</v>
      </c>
      <c r="Q42" s="279">
        <v>843198</v>
      </c>
      <c r="R42" s="281">
        <v>824593088</v>
      </c>
      <c r="S42" s="282">
        <v>1012990</v>
      </c>
      <c r="T42" s="172">
        <v>814317057</v>
      </c>
      <c r="U42" s="172">
        <v>374207286</v>
      </c>
    </row>
    <row r="43" spans="1:21" ht="20.399999999999999" x14ac:dyDescent="0.3">
      <c r="A43" s="278" t="s">
        <v>456</v>
      </c>
      <c r="B43" s="278" t="s">
        <v>46</v>
      </c>
      <c r="C43" s="278"/>
      <c r="D43" s="278"/>
      <c r="E43" s="278"/>
      <c r="F43" s="279">
        <v>87752216</v>
      </c>
      <c r="G43" s="279">
        <v>143096</v>
      </c>
      <c r="H43" s="279">
        <v>523526294</v>
      </c>
      <c r="I43" s="279">
        <v>14131</v>
      </c>
      <c r="J43" s="279">
        <v>595671400</v>
      </c>
      <c r="K43" s="279">
        <v>1490330</v>
      </c>
      <c r="L43" s="279">
        <v>3070169</v>
      </c>
      <c r="M43" s="279">
        <v>5800</v>
      </c>
      <c r="N43" s="280">
        <v>202624554</v>
      </c>
      <c r="O43" s="280">
        <v>471812</v>
      </c>
      <c r="P43" s="279">
        <v>1122267863</v>
      </c>
      <c r="Q43" s="279">
        <v>1510261</v>
      </c>
      <c r="R43" s="281">
        <v>1210020079</v>
      </c>
      <c r="S43" s="282">
        <v>1653357</v>
      </c>
      <c r="T43" s="172">
        <v>1206949910</v>
      </c>
      <c r="U43" s="172">
        <v>683423616</v>
      </c>
    </row>
    <row r="44" spans="1:21" ht="20.399999999999999" x14ac:dyDescent="0.3">
      <c r="A44" s="278" t="s">
        <v>456</v>
      </c>
      <c r="B44" s="278" t="s">
        <v>47</v>
      </c>
      <c r="C44" s="278"/>
      <c r="D44" s="278"/>
      <c r="E44" s="278"/>
      <c r="F44" s="279">
        <v>19341875.73</v>
      </c>
      <c r="G44" s="279">
        <v>37573</v>
      </c>
      <c r="H44" s="279">
        <v>116852324.84</v>
      </c>
      <c r="I44" s="279">
        <v>13915.68</v>
      </c>
      <c r="J44" s="279">
        <v>93118604.780000001</v>
      </c>
      <c r="K44" s="279">
        <v>252241.93</v>
      </c>
      <c r="L44" s="279">
        <v>0</v>
      </c>
      <c r="M44" s="279">
        <v>0</v>
      </c>
      <c r="N44" s="280">
        <v>35841899.439999998</v>
      </c>
      <c r="O44" s="280">
        <v>107227.2</v>
      </c>
      <c r="P44" s="279">
        <v>209970929.62</v>
      </c>
      <c r="Q44" s="279">
        <v>266157.61</v>
      </c>
      <c r="R44" s="281">
        <v>229312805.34999999</v>
      </c>
      <c r="S44" s="282">
        <v>303731.09999999998</v>
      </c>
      <c r="T44" s="172">
        <v>229312805.34999999</v>
      </c>
      <c r="U44" s="172">
        <v>112460480.51000001</v>
      </c>
    </row>
    <row r="45" spans="1:21" ht="20.399999999999999" x14ac:dyDescent="0.3">
      <c r="A45" s="278" t="s">
        <v>456</v>
      </c>
      <c r="B45" s="278" t="s">
        <v>48</v>
      </c>
      <c r="C45" s="278"/>
      <c r="D45" s="278"/>
      <c r="E45" s="278"/>
      <c r="F45" s="279">
        <v>50625869.530000001</v>
      </c>
      <c r="G45" s="279">
        <v>91622</v>
      </c>
      <c r="H45" s="279">
        <v>273948238.81999999</v>
      </c>
      <c r="I45" s="279">
        <v>46963.88</v>
      </c>
      <c r="J45" s="279">
        <v>171187702.03</v>
      </c>
      <c r="K45" s="279">
        <v>419983.38</v>
      </c>
      <c r="L45" s="279">
        <v>0</v>
      </c>
      <c r="M45" s="279">
        <v>0</v>
      </c>
      <c r="N45" s="280">
        <v>44341187.829999998</v>
      </c>
      <c r="O45" s="280">
        <v>93047.48</v>
      </c>
      <c r="P45" s="279">
        <v>445135940.85000002</v>
      </c>
      <c r="Q45" s="279">
        <v>466947.26</v>
      </c>
      <c r="R45" s="281">
        <v>495761810.38</v>
      </c>
      <c r="S45" s="282">
        <v>558570.18000000005</v>
      </c>
      <c r="T45" s="172">
        <v>495761810.38</v>
      </c>
      <c r="U45" s="172">
        <v>221813571.56</v>
      </c>
    </row>
    <row r="46" spans="1:21" ht="20.399999999999999" x14ac:dyDescent="0.3">
      <c r="A46" s="278" t="s">
        <v>456</v>
      </c>
      <c r="B46" s="278" t="s">
        <v>49</v>
      </c>
      <c r="C46" s="278"/>
      <c r="D46" s="278"/>
      <c r="E46" s="278"/>
      <c r="F46" s="279">
        <v>16097098</v>
      </c>
      <c r="G46" s="279">
        <v>33601</v>
      </c>
      <c r="H46" s="279">
        <v>53048833</v>
      </c>
      <c r="I46" s="279">
        <v>0</v>
      </c>
      <c r="J46" s="279">
        <v>48309449</v>
      </c>
      <c r="K46" s="279">
        <v>138917</v>
      </c>
      <c r="L46" s="279">
        <v>0</v>
      </c>
      <c r="M46" s="279">
        <v>0</v>
      </c>
      <c r="N46" s="280">
        <v>23758522</v>
      </c>
      <c r="O46" s="280">
        <v>74518</v>
      </c>
      <c r="P46" s="279">
        <v>101358282</v>
      </c>
      <c r="Q46" s="279">
        <v>138917</v>
      </c>
      <c r="R46" s="281">
        <v>117455380</v>
      </c>
      <c r="S46" s="282">
        <v>172518</v>
      </c>
      <c r="T46" s="172">
        <v>117455380</v>
      </c>
      <c r="U46" s="172">
        <v>64406547</v>
      </c>
    </row>
    <row r="47" spans="1:21" ht="20.399999999999999" x14ac:dyDescent="0.3">
      <c r="A47" s="278" t="s">
        <v>456</v>
      </c>
      <c r="B47" s="278" t="s">
        <v>50</v>
      </c>
      <c r="C47" s="278"/>
      <c r="D47" s="278"/>
      <c r="E47" s="278"/>
      <c r="F47" s="279">
        <v>169724359.44</v>
      </c>
      <c r="G47" s="279">
        <v>329808</v>
      </c>
      <c r="H47" s="279">
        <v>801492810.28999996</v>
      </c>
      <c r="I47" s="279">
        <v>15853.59</v>
      </c>
      <c r="J47" s="279">
        <v>583664393.71000004</v>
      </c>
      <c r="K47" s="279">
        <v>1689552.76</v>
      </c>
      <c r="L47" s="279">
        <v>4047657.56</v>
      </c>
      <c r="M47" s="279">
        <v>8027.89</v>
      </c>
      <c r="N47" s="280">
        <v>179151972.83000001</v>
      </c>
      <c r="O47" s="280">
        <v>385902.7</v>
      </c>
      <c r="P47" s="279">
        <v>1389204861.5599999</v>
      </c>
      <c r="Q47" s="279">
        <v>1713434.24</v>
      </c>
      <c r="R47" s="281">
        <v>1558929221</v>
      </c>
      <c r="S47" s="282">
        <v>2043243.13</v>
      </c>
      <c r="T47" s="172">
        <v>1554881563.4400001</v>
      </c>
      <c r="U47" s="172">
        <v>753388753.1500001</v>
      </c>
    </row>
    <row r="48" spans="1:21" x14ac:dyDescent="0.3">
      <c r="A48" s="278" t="s">
        <v>456</v>
      </c>
      <c r="B48" s="278" t="s">
        <v>51</v>
      </c>
      <c r="C48" s="278"/>
      <c r="D48" s="278"/>
      <c r="E48" s="278"/>
      <c r="F48" s="279">
        <v>33642138.789999999</v>
      </c>
      <c r="G48" s="279">
        <v>61542</v>
      </c>
      <c r="H48" s="279">
        <v>125081745.62</v>
      </c>
      <c r="I48" s="279">
        <v>24902.02</v>
      </c>
      <c r="J48" s="279">
        <v>90552836.239999995</v>
      </c>
      <c r="K48" s="279">
        <v>209510.93</v>
      </c>
      <c r="L48" s="279">
        <v>2981689.24</v>
      </c>
      <c r="M48" s="279">
        <v>5653.66</v>
      </c>
      <c r="N48" s="280">
        <v>54676133.899999999</v>
      </c>
      <c r="O48" s="280">
        <v>105163.96</v>
      </c>
      <c r="P48" s="279">
        <v>218616271.09999999</v>
      </c>
      <c r="Q48" s="279">
        <v>240066.61</v>
      </c>
      <c r="R48" s="281">
        <v>252258409.88999999</v>
      </c>
      <c r="S48" s="282">
        <v>301608.63</v>
      </c>
      <c r="T48" s="172">
        <v>249276720.64999998</v>
      </c>
      <c r="U48" s="172">
        <v>124194975.03</v>
      </c>
    </row>
    <row r="49" spans="1:21" ht="20.399999999999999" x14ac:dyDescent="0.3">
      <c r="A49" s="278" t="s">
        <v>456</v>
      </c>
      <c r="B49" s="278" t="s">
        <v>52</v>
      </c>
      <c r="C49" s="278"/>
      <c r="D49" s="278"/>
      <c r="E49" s="278"/>
      <c r="F49" s="279">
        <v>39056693</v>
      </c>
      <c r="G49" s="279">
        <v>65598</v>
      </c>
      <c r="H49" s="279">
        <v>160300163</v>
      </c>
      <c r="I49" s="279">
        <v>55279</v>
      </c>
      <c r="J49" s="279">
        <v>115166000</v>
      </c>
      <c r="K49" s="279">
        <v>282631</v>
      </c>
      <c r="L49" s="279">
        <v>2769406</v>
      </c>
      <c r="M49" s="279">
        <v>5430</v>
      </c>
      <c r="N49" s="280">
        <v>60088068</v>
      </c>
      <c r="O49" s="280">
        <v>146863</v>
      </c>
      <c r="P49" s="279">
        <v>278235569</v>
      </c>
      <c r="Q49" s="279">
        <v>343340</v>
      </c>
      <c r="R49" s="281">
        <v>317292262</v>
      </c>
      <c r="S49" s="282">
        <v>408938</v>
      </c>
      <c r="T49" s="172">
        <v>314522856</v>
      </c>
      <c r="U49" s="172">
        <v>154222693</v>
      </c>
    </row>
    <row r="50" spans="1:21" ht="20.399999999999999" x14ac:dyDescent="0.3">
      <c r="A50" s="278" t="s">
        <v>456</v>
      </c>
      <c r="B50" s="278" t="s">
        <v>53</v>
      </c>
      <c r="C50" s="278"/>
      <c r="D50" s="278"/>
      <c r="E50" s="278"/>
      <c r="F50" s="279">
        <v>71434068</v>
      </c>
      <c r="G50" s="279">
        <v>106400</v>
      </c>
      <c r="H50" s="279">
        <v>672800558</v>
      </c>
      <c r="I50" s="279">
        <v>248344</v>
      </c>
      <c r="J50" s="279">
        <v>298723064</v>
      </c>
      <c r="K50" s="279">
        <v>737525</v>
      </c>
      <c r="L50" s="279">
        <v>6533879</v>
      </c>
      <c r="M50" s="279">
        <v>12465</v>
      </c>
      <c r="N50" s="280">
        <v>90242032</v>
      </c>
      <c r="O50" s="280">
        <v>200157</v>
      </c>
      <c r="P50" s="279">
        <v>978057501</v>
      </c>
      <c r="Q50" s="279">
        <v>998334</v>
      </c>
      <c r="R50" s="281">
        <v>1049491569</v>
      </c>
      <c r="S50" s="282">
        <v>1104734</v>
      </c>
      <c r="T50" s="172">
        <v>1042957690</v>
      </c>
      <c r="U50" s="172">
        <v>370157132</v>
      </c>
    </row>
    <row r="51" spans="1:21" ht="20.399999999999999" x14ac:dyDescent="0.3">
      <c r="A51" s="278" t="s">
        <v>456</v>
      </c>
      <c r="B51" s="278" t="s">
        <v>54</v>
      </c>
      <c r="C51" s="278"/>
      <c r="D51" s="278"/>
      <c r="E51" s="278"/>
      <c r="F51" s="279">
        <v>21308040</v>
      </c>
      <c r="G51" s="279">
        <v>37885</v>
      </c>
      <c r="H51" s="279">
        <v>120619011</v>
      </c>
      <c r="I51" s="279">
        <v>40861</v>
      </c>
      <c r="J51" s="279">
        <v>41585877</v>
      </c>
      <c r="K51" s="279">
        <v>155195</v>
      </c>
      <c r="L51" s="279">
        <v>0</v>
      </c>
      <c r="M51" s="279">
        <v>0</v>
      </c>
      <c r="N51" s="280">
        <v>1305027.1200000001</v>
      </c>
      <c r="O51" s="280">
        <v>5703.36</v>
      </c>
      <c r="P51" s="279">
        <v>162204888</v>
      </c>
      <c r="Q51" s="279">
        <v>196056</v>
      </c>
      <c r="R51" s="281">
        <v>183512928</v>
      </c>
      <c r="S51" s="282">
        <v>233941</v>
      </c>
      <c r="T51" s="172">
        <v>183512928</v>
      </c>
      <c r="U51" s="172">
        <v>62893917</v>
      </c>
    </row>
    <row r="52" spans="1:21" ht="30.6" x14ac:dyDescent="0.3">
      <c r="A52" s="278" t="s">
        <v>456</v>
      </c>
      <c r="B52" s="278" t="s">
        <v>55</v>
      </c>
      <c r="C52" s="278"/>
      <c r="D52" s="278"/>
      <c r="E52" s="278"/>
      <c r="F52" s="279">
        <v>115534314.41</v>
      </c>
      <c r="G52" s="279">
        <v>210226</v>
      </c>
      <c r="H52" s="279">
        <v>426295632.75999999</v>
      </c>
      <c r="I52" s="279">
        <v>112850.12</v>
      </c>
      <c r="J52" s="279">
        <v>219832478.78999999</v>
      </c>
      <c r="K52" s="279">
        <v>531932.1</v>
      </c>
      <c r="L52" s="279">
        <v>0</v>
      </c>
      <c r="M52" s="279">
        <v>5209</v>
      </c>
      <c r="N52" s="280">
        <v>122349066</v>
      </c>
      <c r="O52" s="280">
        <v>259899</v>
      </c>
      <c r="P52" s="279">
        <v>646128111.54999995</v>
      </c>
      <c r="Q52" s="279">
        <v>649991.22</v>
      </c>
      <c r="R52" s="281">
        <v>761662425.96000004</v>
      </c>
      <c r="S52" s="282">
        <v>860218.22</v>
      </c>
      <c r="T52" s="172">
        <v>761662425.95999992</v>
      </c>
      <c r="U52" s="172">
        <v>335366793.19999999</v>
      </c>
    </row>
    <row r="53" spans="1:21" x14ac:dyDescent="0.3">
      <c r="A53" s="278" t="s">
        <v>456</v>
      </c>
      <c r="B53" s="278" t="s">
        <v>56</v>
      </c>
      <c r="C53" s="278"/>
      <c r="D53" s="278"/>
      <c r="E53" s="278"/>
      <c r="F53" s="279">
        <v>66424123.270000003</v>
      </c>
      <c r="G53" s="279">
        <v>101709</v>
      </c>
      <c r="H53" s="279">
        <v>406959170.67000002</v>
      </c>
      <c r="I53" s="279">
        <v>116043.95</v>
      </c>
      <c r="J53" s="279">
        <v>158562520.09</v>
      </c>
      <c r="K53" s="279">
        <v>384467.04</v>
      </c>
      <c r="L53" s="279">
        <v>0</v>
      </c>
      <c r="M53" s="279">
        <v>0</v>
      </c>
      <c r="N53" s="280">
        <v>35960742</v>
      </c>
      <c r="O53" s="280">
        <v>89900</v>
      </c>
      <c r="P53" s="279">
        <v>565521690.75999999</v>
      </c>
      <c r="Q53" s="279">
        <v>500510.99</v>
      </c>
      <c r="R53" s="281">
        <v>631945814.02999997</v>
      </c>
      <c r="S53" s="282">
        <v>602220.68999999994</v>
      </c>
      <c r="T53" s="172">
        <v>631945814.02999997</v>
      </c>
      <c r="U53" s="172">
        <v>224986643.36000001</v>
      </c>
    </row>
    <row r="54" spans="1:21" x14ac:dyDescent="0.3">
      <c r="A54" s="278" t="s">
        <v>456</v>
      </c>
      <c r="B54" s="278" t="s">
        <v>57</v>
      </c>
      <c r="C54" s="278"/>
      <c r="D54" s="278"/>
      <c r="E54" s="278"/>
      <c r="F54" s="279">
        <v>7068695.4699999997</v>
      </c>
      <c r="G54" s="279">
        <v>9005</v>
      </c>
      <c r="H54" s="279">
        <v>42528775</v>
      </c>
      <c r="I54" s="279">
        <v>0</v>
      </c>
      <c r="J54" s="279">
        <v>36787287</v>
      </c>
      <c r="K54" s="279">
        <v>90503</v>
      </c>
      <c r="L54" s="279">
        <v>0</v>
      </c>
      <c r="M54" s="279">
        <v>0</v>
      </c>
      <c r="N54" s="280">
        <v>12768084.02</v>
      </c>
      <c r="O54" s="280">
        <v>24739.26</v>
      </c>
      <c r="P54" s="279">
        <v>79316062</v>
      </c>
      <c r="Q54" s="279">
        <v>90503</v>
      </c>
      <c r="R54" s="281">
        <v>86384757.469999999</v>
      </c>
      <c r="S54" s="282">
        <v>99508.79</v>
      </c>
      <c r="T54" s="172">
        <v>86384757.469999999</v>
      </c>
      <c r="U54" s="172">
        <v>43855982.469999999</v>
      </c>
    </row>
    <row r="55" spans="1:21" ht="20.399999999999999" x14ac:dyDescent="0.3">
      <c r="A55" s="278" t="s">
        <v>456</v>
      </c>
      <c r="B55" s="278" t="s">
        <v>58</v>
      </c>
      <c r="C55" s="278"/>
      <c r="D55" s="278"/>
      <c r="E55" s="278"/>
      <c r="F55" s="279">
        <v>8326720</v>
      </c>
      <c r="G55" s="279">
        <v>12696</v>
      </c>
      <c r="H55" s="279">
        <v>60890011</v>
      </c>
      <c r="I55" s="279">
        <v>5964.95</v>
      </c>
      <c r="J55" s="279">
        <v>31002361</v>
      </c>
      <c r="K55" s="279">
        <v>93261.88</v>
      </c>
      <c r="L55" s="279">
        <v>0</v>
      </c>
      <c r="M55" s="279">
        <v>0</v>
      </c>
      <c r="N55" s="280">
        <v>7983849</v>
      </c>
      <c r="O55" s="280">
        <v>25619</v>
      </c>
      <c r="P55" s="279">
        <v>91892372</v>
      </c>
      <c r="Q55" s="279">
        <v>99226.83</v>
      </c>
      <c r="R55" s="281">
        <v>100219092</v>
      </c>
      <c r="S55" s="282">
        <v>111922.94</v>
      </c>
      <c r="T55" s="172">
        <v>100219092</v>
      </c>
      <c r="U55" s="172">
        <v>39329081</v>
      </c>
    </row>
    <row r="56" spans="1:21" x14ac:dyDescent="0.3">
      <c r="A56" s="278" t="s">
        <v>456</v>
      </c>
      <c r="B56" s="278" t="s">
        <v>59</v>
      </c>
      <c r="C56" s="278"/>
      <c r="D56" s="278"/>
      <c r="E56" s="278"/>
      <c r="F56" s="279">
        <v>6783475.7000000002</v>
      </c>
      <c r="G56" s="279">
        <v>0</v>
      </c>
      <c r="H56" s="279">
        <v>54722673.890000001</v>
      </c>
      <c r="I56" s="279">
        <v>11072.19</v>
      </c>
      <c r="J56" s="279">
        <v>19031574.210000001</v>
      </c>
      <c r="K56" s="279">
        <v>41537.29</v>
      </c>
      <c r="L56" s="279">
        <v>0</v>
      </c>
      <c r="M56" s="279">
        <v>0</v>
      </c>
      <c r="N56" s="280">
        <v>0</v>
      </c>
      <c r="O56" s="280">
        <v>0</v>
      </c>
      <c r="P56" s="279">
        <v>73754248.099999994</v>
      </c>
      <c r="Q56" s="279">
        <v>52609.48</v>
      </c>
      <c r="R56" s="281">
        <v>80537723.799999997</v>
      </c>
      <c r="S56" s="282">
        <v>52609.48</v>
      </c>
      <c r="T56" s="172">
        <v>80537723.800000012</v>
      </c>
      <c r="U56" s="172">
        <v>25815049.91</v>
      </c>
    </row>
    <row r="57" spans="1:21" ht="20.399999999999999" x14ac:dyDescent="0.3">
      <c r="A57" s="278" t="s">
        <v>456</v>
      </c>
      <c r="B57" s="278" t="s">
        <v>459</v>
      </c>
      <c r="C57" s="278"/>
      <c r="D57" s="278"/>
      <c r="E57" s="278"/>
      <c r="F57" s="279">
        <v>43537567.310000002</v>
      </c>
      <c r="G57" s="279">
        <v>53299</v>
      </c>
      <c r="H57" s="279">
        <v>536232423.86000001</v>
      </c>
      <c r="I57" s="279">
        <v>98583.34</v>
      </c>
      <c r="J57" s="279">
        <v>400546332.97000003</v>
      </c>
      <c r="K57" s="279">
        <v>1087671.03</v>
      </c>
      <c r="L57" s="279">
        <v>0</v>
      </c>
      <c r="M57" s="279">
        <v>0</v>
      </c>
      <c r="N57" s="280">
        <v>127674309.20999999</v>
      </c>
      <c r="O57" s="280">
        <v>340435.96</v>
      </c>
      <c r="P57" s="279">
        <v>936778756.83000004</v>
      </c>
      <c r="Q57" s="279">
        <v>1186254.3700000001</v>
      </c>
      <c r="R57" s="281">
        <v>980316324.13999999</v>
      </c>
      <c r="S57" s="282">
        <v>1239554.08</v>
      </c>
      <c r="T57" s="172">
        <v>980316324.1400001</v>
      </c>
      <c r="U57" s="172">
        <v>444083900.28000003</v>
      </c>
    </row>
    <row r="58" spans="1:21" x14ac:dyDescent="0.3">
      <c r="A58" s="278" t="s">
        <v>456</v>
      </c>
      <c r="B58" s="278" t="s">
        <v>62</v>
      </c>
      <c r="C58" s="278"/>
      <c r="D58" s="278"/>
      <c r="E58" s="278"/>
      <c r="F58" s="279">
        <v>31268618.43</v>
      </c>
      <c r="G58" s="279">
        <v>72622</v>
      </c>
      <c r="H58" s="279">
        <v>74180702.719999999</v>
      </c>
      <c r="I58" s="279">
        <v>16086.09</v>
      </c>
      <c r="J58" s="279">
        <v>68725439.329999998</v>
      </c>
      <c r="K58" s="279">
        <v>187888.85</v>
      </c>
      <c r="L58" s="279">
        <v>0</v>
      </c>
      <c r="M58" s="279">
        <v>0</v>
      </c>
      <c r="N58" s="280">
        <v>42367786.969999999</v>
      </c>
      <c r="O58" s="280">
        <v>89627.21</v>
      </c>
      <c r="P58" s="279">
        <v>142906142.05000001</v>
      </c>
      <c r="Q58" s="279">
        <v>203974.94</v>
      </c>
      <c r="R58" s="281">
        <v>174174760.47999999</v>
      </c>
      <c r="S58" s="282">
        <v>276597.84999999998</v>
      </c>
      <c r="T58" s="172">
        <v>174174760.48000002</v>
      </c>
      <c r="U58" s="172">
        <v>99994057.75999999</v>
      </c>
    </row>
    <row r="59" spans="1:21" ht="20.399999999999999" x14ac:dyDescent="0.3">
      <c r="A59" s="278" t="s">
        <v>456</v>
      </c>
      <c r="B59" s="278" t="s">
        <v>63</v>
      </c>
      <c r="C59" s="278"/>
      <c r="D59" s="278"/>
      <c r="E59" s="278"/>
      <c r="F59" s="279">
        <v>2404106122.2210698</v>
      </c>
      <c r="G59" s="279">
        <v>4726932</v>
      </c>
      <c r="H59" s="279">
        <v>10013654669.789301</v>
      </c>
      <c r="I59" s="279">
        <v>7279403.7425781405</v>
      </c>
      <c r="J59" s="279">
        <v>11258688976.932699</v>
      </c>
      <c r="K59" s="279">
        <v>27046461.615674999</v>
      </c>
      <c r="L59" s="279">
        <v>297526414.00295401</v>
      </c>
      <c r="M59" s="279">
        <v>587486.14058000001</v>
      </c>
      <c r="N59" s="280">
        <v>5475133418.3299999</v>
      </c>
      <c r="O59" s="280">
        <v>11524057.689999999</v>
      </c>
      <c r="P59" s="279">
        <v>21569870060.724998</v>
      </c>
      <c r="Q59" s="279">
        <v>34913351.498833098</v>
      </c>
      <c r="R59" s="281">
        <v>23973976182.945999</v>
      </c>
      <c r="S59" s="282">
        <v>39640283.686238602</v>
      </c>
      <c r="T59" s="172">
        <v>23676449768.943069</v>
      </c>
      <c r="U59" s="172">
        <v>13662795099.153769</v>
      </c>
    </row>
    <row r="60" spans="1:21" x14ac:dyDescent="0.3">
      <c r="A60" s="278" t="s">
        <v>456</v>
      </c>
      <c r="B60" s="278" t="s">
        <v>64</v>
      </c>
      <c r="C60" s="278"/>
      <c r="D60" s="278"/>
      <c r="E60" s="278"/>
      <c r="F60" s="279">
        <v>5666829</v>
      </c>
      <c r="G60" s="279">
        <v>8806</v>
      </c>
      <c r="H60" s="279">
        <v>110677510</v>
      </c>
      <c r="I60" s="279">
        <v>0</v>
      </c>
      <c r="J60" s="279">
        <v>14641813</v>
      </c>
      <c r="K60" s="279">
        <v>37133.760000000002</v>
      </c>
      <c r="L60" s="279">
        <v>2668244</v>
      </c>
      <c r="M60" s="279">
        <v>5263.75</v>
      </c>
      <c r="N60" s="280">
        <v>0</v>
      </c>
      <c r="O60" s="280">
        <v>0</v>
      </c>
      <c r="P60" s="279">
        <v>127987567</v>
      </c>
      <c r="Q60" s="279">
        <v>42397.51</v>
      </c>
      <c r="R60" s="281">
        <v>133654396</v>
      </c>
      <c r="S60" s="282">
        <v>51204.41</v>
      </c>
      <c r="T60" s="172">
        <v>130986152</v>
      </c>
      <c r="U60" s="172">
        <v>20308642</v>
      </c>
    </row>
    <row r="61" spans="1:21" ht="20.399999999999999" x14ac:dyDescent="0.3">
      <c r="A61" s="278" t="s">
        <v>456</v>
      </c>
      <c r="B61" s="278" t="s">
        <v>65</v>
      </c>
      <c r="C61" s="278"/>
      <c r="D61" s="278"/>
      <c r="E61" s="278"/>
      <c r="F61" s="279">
        <v>141815891</v>
      </c>
      <c r="G61" s="279">
        <v>0</v>
      </c>
      <c r="H61" s="279">
        <v>658616599</v>
      </c>
      <c r="I61" s="279">
        <v>187453</v>
      </c>
      <c r="J61" s="279">
        <v>629006499</v>
      </c>
      <c r="K61" s="279">
        <v>1815569</v>
      </c>
      <c r="L61" s="279">
        <v>8606064</v>
      </c>
      <c r="M61" s="279">
        <v>18270</v>
      </c>
      <c r="N61" s="280">
        <v>291537126</v>
      </c>
      <c r="O61" s="280">
        <v>0</v>
      </c>
      <c r="P61" s="279">
        <v>1296229162</v>
      </c>
      <c r="Q61" s="279">
        <v>2021292</v>
      </c>
      <c r="R61" s="281">
        <v>1438045053</v>
      </c>
      <c r="S61" s="282">
        <v>2021292</v>
      </c>
      <c r="T61" s="172">
        <v>1429438989</v>
      </c>
      <c r="U61" s="172">
        <v>770822390</v>
      </c>
    </row>
    <row r="62" spans="1:21" ht="20.399999999999999" x14ac:dyDescent="0.3">
      <c r="A62" s="278" t="s">
        <v>456</v>
      </c>
      <c r="B62" s="278" t="s">
        <v>66</v>
      </c>
      <c r="C62" s="278"/>
      <c r="D62" s="278"/>
      <c r="E62" s="278"/>
      <c r="F62" s="279">
        <v>18383460</v>
      </c>
      <c r="G62" s="279">
        <v>16815</v>
      </c>
      <c r="H62" s="279">
        <v>217495982</v>
      </c>
      <c r="I62" s="279">
        <v>39758</v>
      </c>
      <c r="J62" s="279">
        <v>131899355</v>
      </c>
      <c r="K62" s="279">
        <v>359377</v>
      </c>
      <c r="L62" s="279">
        <v>2829418</v>
      </c>
      <c r="M62" s="279">
        <v>5114</v>
      </c>
      <c r="N62" s="280">
        <v>33268121</v>
      </c>
      <c r="O62" s="280">
        <v>109709</v>
      </c>
      <c r="P62" s="279">
        <v>352224755</v>
      </c>
      <c r="Q62" s="279">
        <v>404249</v>
      </c>
      <c r="R62" s="281">
        <v>370608215</v>
      </c>
      <c r="S62" s="282">
        <v>421064</v>
      </c>
      <c r="T62" s="172">
        <v>367778797</v>
      </c>
      <c r="U62" s="172">
        <v>150282815</v>
      </c>
    </row>
    <row r="63" spans="1:21" ht="20.399999999999999" x14ac:dyDescent="0.3">
      <c r="A63" s="278" t="s">
        <v>456</v>
      </c>
      <c r="B63" s="278" t="s">
        <v>67</v>
      </c>
      <c r="C63" s="278"/>
      <c r="D63" s="278"/>
      <c r="E63" s="278"/>
      <c r="F63" s="279">
        <v>30820940.469999999</v>
      </c>
      <c r="G63" s="279">
        <v>59486</v>
      </c>
      <c r="H63" s="279">
        <v>33434893.57</v>
      </c>
      <c r="I63" s="279">
        <v>48.38</v>
      </c>
      <c r="J63" s="279">
        <v>34318492.990000002</v>
      </c>
      <c r="K63" s="279">
        <v>90245.05</v>
      </c>
      <c r="L63" s="279">
        <v>0</v>
      </c>
      <c r="M63" s="279">
        <v>0</v>
      </c>
      <c r="N63" s="280">
        <v>47435897.18</v>
      </c>
      <c r="O63" s="280">
        <v>102890.4</v>
      </c>
      <c r="P63" s="279">
        <v>67753386.560000002</v>
      </c>
      <c r="Q63" s="279">
        <v>90293.43</v>
      </c>
      <c r="R63" s="281">
        <v>98574327.030000001</v>
      </c>
      <c r="S63" s="282">
        <v>149780.24</v>
      </c>
      <c r="T63" s="172">
        <v>98574327.030000001</v>
      </c>
      <c r="U63" s="172">
        <v>65139433.460000001</v>
      </c>
    </row>
    <row r="64" spans="1:21" x14ac:dyDescent="0.3">
      <c r="A64" s="278" t="s">
        <v>456</v>
      </c>
      <c r="B64" s="278" t="s">
        <v>68</v>
      </c>
      <c r="C64" s="278"/>
      <c r="D64" s="278"/>
      <c r="E64" s="278"/>
      <c r="F64" s="279">
        <v>89228112</v>
      </c>
      <c r="G64" s="279">
        <v>155994</v>
      </c>
      <c r="H64" s="279">
        <v>242809299</v>
      </c>
      <c r="I64" s="279">
        <v>15601</v>
      </c>
      <c r="J64" s="279">
        <v>108932499</v>
      </c>
      <c r="K64" s="279">
        <v>272634</v>
      </c>
      <c r="L64" s="279">
        <v>2687566</v>
      </c>
      <c r="M64" s="279">
        <v>6518</v>
      </c>
      <c r="N64" s="280">
        <v>81697050</v>
      </c>
      <c r="O64" s="280">
        <v>186612</v>
      </c>
      <c r="P64" s="279">
        <v>354429364</v>
      </c>
      <c r="Q64" s="279">
        <v>294753</v>
      </c>
      <c r="R64" s="281">
        <v>443657476</v>
      </c>
      <c r="S64" s="282">
        <v>450747</v>
      </c>
      <c r="T64" s="172">
        <v>440969910</v>
      </c>
      <c r="U64" s="172">
        <v>198160611</v>
      </c>
    </row>
  </sheetData>
  <sheetProtection algorithmName="SHA-512" hashValue="4PdUoUWzasBHDIwzxbc3+99LZtasKZLkH3BFqpbOsYOaNYLXZLfuxxiJwjv1x8d2WO6LGO1b3lGpma76My7wCQ==" saltValue="9RTX9+AhSwPZdqXUFTWq2A==" spinCount="100000" sheet="1" objects="1" scenarios="1"/>
  <mergeCells count="2">
    <mergeCell ref="A1:H1"/>
    <mergeCell ref="A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939F-466B-43CD-86EA-2235B97CE186}">
  <sheetPr codeName="Sheet17"/>
  <dimension ref="A1:U65"/>
  <sheetViews>
    <sheetView workbookViewId="0">
      <selection activeCell="T11" sqref="T11"/>
    </sheetView>
  </sheetViews>
  <sheetFormatPr defaultColWidth="9.109375" defaultRowHeight="14.4" x14ac:dyDescent="0.3"/>
  <cols>
    <col min="1" max="1" width="9" customWidth="1"/>
    <col min="2" max="5" width="18.88671875" customWidth="1"/>
    <col min="6" max="6" width="26.33203125" customWidth="1"/>
    <col min="7" max="7" width="25.44140625" customWidth="1"/>
    <col min="8" max="8" width="17.88671875" customWidth="1"/>
    <col min="9" max="9" width="17" customWidth="1"/>
    <col min="10" max="10" width="20.6640625" customWidth="1"/>
    <col min="11" max="11" width="19.88671875" customWidth="1"/>
    <col min="12" max="12" width="15" customWidth="1"/>
    <col min="13" max="13" width="14.44140625" customWidth="1"/>
    <col min="14" max="14" width="21.44140625" customWidth="1"/>
    <col min="15" max="15" width="20.5546875" customWidth="1"/>
    <col min="16" max="16" width="22.109375" customWidth="1"/>
    <col min="17" max="17" width="21.33203125" customWidth="1"/>
    <col min="18" max="18" width="18.5546875" customWidth="1"/>
    <col min="19" max="19" width="17.5546875" customWidth="1"/>
    <col min="20" max="20" width="32" customWidth="1"/>
    <col min="21" max="21" width="31" customWidth="1"/>
  </cols>
  <sheetData>
    <row r="1" spans="1:21" x14ac:dyDescent="0.3">
      <c r="A1" s="387" t="s">
        <v>454</v>
      </c>
      <c r="B1" s="387"/>
      <c r="C1" s="387"/>
      <c r="D1" s="387"/>
      <c r="E1" s="387"/>
      <c r="F1" s="387"/>
      <c r="G1" s="387"/>
      <c r="H1" s="387"/>
    </row>
    <row r="2" spans="1:21" x14ac:dyDescent="0.3">
      <c r="A2" s="384" t="s">
        <v>460</v>
      </c>
      <c r="B2" s="384"/>
      <c r="C2" s="384"/>
      <c r="D2" s="384"/>
      <c r="E2" s="384"/>
      <c r="F2" s="384"/>
      <c r="G2" s="384"/>
      <c r="H2" s="384"/>
    </row>
    <row r="3" spans="1:21" x14ac:dyDescent="0.3">
      <c r="A3" s="107" t="s">
        <v>450</v>
      </c>
      <c r="T3" t="s">
        <v>428</v>
      </c>
      <c r="U3" t="s">
        <v>429</v>
      </c>
    </row>
    <row r="4" spans="1:21" x14ac:dyDescent="0.3">
      <c r="A4" s="271" t="s">
        <v>430</v>
      </c>
      <c r="B4" s="271" t="s">
        <v>431</v>
      </c>
      <c r="C4" s="271"/>
      <c r="D4" s="271"/>
      <c r="E4" s="271"/>
      <c r="F4" s="271" t="s">
        <v>432</v>
      </c>
      <c r="G4" s="271" t="s">
        <v>433</v>
      </c>
      <c r="H4" s="271" t="s">
        <v>434</v>
      </c>
      <c r="I4" s="271" t="s">
        <v>435</v>
      </c>
      <c r="J4" s="271" t="s">
        <v>436</v>
      </c>
      <c r="K4" s="271" t="s">
        <v>437</v>
      </c>
      <c r="L4" s="271" t="s">
        <v>438</v>
      </c>
      <c r="M4" s="271" t="s">
        <v>439</v>
      </c>
      <c r="N4" s="271" t="s">
        <v>440</v>
      </c>
      <c r="O4" s="271" t="s">
        <v>441</v>
      </c>
      <c r="P4" s="271" t="s">
        <v>442</v>
      </c>
      <c r="Q4" s="271" t="s">
        <v>443</v>
      </c>
      <c r="R4" s="271" t="s">
        <v>444</v>
      </c>
      <c r="S4" s="169" t="s">
        <v>445</v>
      </c>
      <c r="T4" s="169" t="s">
        <v>446</v>
      </c>
      <c r="U4" s="169" t="s">
        <v>81</v>
      </c>
    </row>
    <row r="5" spans="1:21" x14ac:dyDescent="0.3">
      <c r="A5" s="139" t="s">
        <v>461</v>
      </c>
      <c r="B5" s="139" t="s">
        <v>462</v>
      </c>
      <c r="C5" s="139"/>
      <c r="D5" s="139"/>
      <c r="E5" s="139"/>
      <c r="F5" s="272">
        <v>110264267</v>
      </c>
      <c r="G5" s="272">
        <v>197497</v>
      </c>
      <c r="H5" s="272">
        <v>437816214</v>
      </c>
      <c r="I5" s="272">
        <v>128011</v>
      </c>
      <c r="J5" s="272">
        <v>202934553</v>
      </c>
      <c r="K5" s="272">
        <v>492106</v>
      </c>
      <c r="L5" s="272">
        <v>0</v>
      </c>
      <c r="M5" s="272">
        <v>5278</v>
      </c>
      <c r="N5" s="276">
        <v>115957906</v>
      </c>
      <c r="O5" s="276">
        <v>242416</v>
      </c>
      <c r="P5" s="272">
        <v>640750767</v>
      </c>
      <c r="Q5" s="272">
        <v>625395</v>
      </c>
      <c r="R5" s="274">
        <v>751015034</v>
      </c>
      <c r="S5" s="275">
        <v>822892</v>
      </c>
      <c r="T5" s="108">
        <v>751015034</v>
      </c>
      <c r="U5" s="108">
        <v>313198820</v>
      </c>
    </row>
    <row r="6" spans="1:21" ht="20.399999999999999" x14ac:dyDescent="0.3">
      <c r="A6" s="139" t="s">
        <v>461</v>
      </c>
      <c r="B6" s="139" t="s">
        <v>6</v>
      </c>
      <c r="C6" s="139"/>
      <c r="D6" s="139"/>
      <c r="E6" s="139"/>
      <c r="F6" s="272">
        <v>2525742733</v>
      </c>
      <c r="G6" s="272">
        <v>5181518</v>
      </c>
      <c r="H6" s="272">
        <v>11410346075.99</v>
      </c>
      <c r="I6" s="272">
        <v>3079758.68</v>
      </c>
      <c r="J6" s="272">
        <v>11448041878.82</v>
      </c>
      <c r="K6" s="272">
        <v>28662490.350000001</v>
      </c>
      <c r="L6" s="272">
        <v>827007387.28999996</v>
      </c>
      <c r="M6" s="272">
        <v>1394965.56</v>
      </c>
      <c r="N6" s="276">
        <v>5946341455.6999998</v>
      </c>
      <c r="O6" s="276">
        <v>12262885.039999999</v>
      </c>
      <c r="P6" s="272">
        <v>23685395342.099998</v>
      </c>
      <c r="Q6" s="272">
        <v>33137214.59</v>
      </c>
      <c r="R6" s="274">
        <v>26211138075.099998</v>
      </c>
      <c r="S6" s="275">
        <v>38318732.590000004</v>
      </c>
      <c r="T6" s="108">
        <v>25384130687.809998</v>
      </c>
      <c r="U6" s="108">
        <v>13973784611.82</v>
      </c>
    </row>
    <row r="7" spans="1:21" x14ac:dyDescent="0.3">
      <c r="A7" s="139" t="s">
        <v>461</v>
      </c>
      <c r="B7" s="139" t="s">
        <v>8</v>
      </c>
      <c r="C7" s="139"/>
      <c r="D7" s="139"/>
      <c r="E7" s="139"/>
      <c r="F7" s="272">
        <v>7314397.0499999998</v>
      </c>
      <c r="G7" s="272">
        <v>9840</v>
      </c>
      <c r="H7" s="272">
        <v>125568566.31999999</v>
      </c>
      <c r="I7" s="272">
        <v>13674.34</v>
      </c>
      <c r="J7" s="272">
        <v>96257256.469999999</v>
      </c>
      <c r="K7" s="272">
        <v>211025.23</v>
      </c>
      <c r="L7" s="272">
        <v>0</v>
      </c>
      <c r="M7" s="272">
        <v>0</v>
      </c>
      <c r="N7" s="276">
        <v>78703754.099999994</v>
      </c>
      <c r="O7" s="276">
        <v>147690.22</v>
      </c>
      <c r="P7" s="272">
        <v>221825822.78999999</v>
      </c>
      <c r="Q7" s="272">
        <v>224699.57</v>
      </c>
      <c r="R7" s="274">
        <v>229140219.84</v>
      </c>
      <c r="S7" s="275">
        <v>234539.94</v>
      </c>
      <c r="T7" s="108">
        <v>229140219.83999997</v>
      </c>
      <c r="U7" s="108">
        <v>103571653.52</v>
      </c>
    </row>
    <row r="8" spans="1:21" x14ac:dyDescent="0.3">
      <c r="A8" s="139" t="s">
        <v>461</v>
      </c>
      <c r="B8" s="139" t="s">
        <v>9</v>
      </c>
      <c r="C8" s="139"/>
      <c r="D8" s="139"/>
      <c r="E8" s="139"/>
      <c r="F8" s="272">
        <v>1087992.93</v>
      </c>
      <c r="G8" s="272">
        <v>2121</v>
      </c>
      <c r="H8" s="272">
        <v>13425982.48</v>
      </c>
      <c r="I8" s="272">
        <v>0</v>
      </c>
      <c r="J8" s="272">
        <v>15983952.5</v>
      </c>
      <c r="K8" s="272">
        <v>46301.760000000002</v>
      </c>
      <c r="L8" s="272">
        <v>0</v>
      </c>
      <c r="M8" s="272">
        <v>0</v>
      </c>
      <c r="N8" s="276">
        <v>11196734</v>
      </c>
      <c r="O8" s="276">
        <v>35416.67</v>
      </c>
      <c r="P8" s="272">
        <v>29409934.98</v>
      </c>
      <c r="Q8" s="272">
        <v>46301.760000000002</v>
      </c>
      <c r="R8" s="274">
        <v>30497927.91</v>
      </c>
      <c r="S8" s="275">
        <v>48423.199999999997</v>
      </c>
      <c r="T8" s="108">
        <v>30497927.91</v>
      </c>
      <c r="U8" s="108">
        <v>17071945.43</v>
      </c>
    </row>
    <row r="9" spans="1:21" ht="20.399999999999999" x14ac:dyDescent="0.3">
      <c r="A9" s="139" t="s">
        <v>461</v>
      </c>
      <c r="B9" s="139" t="s">
        <v>10</v>
      </c>
      <c r="C9" s="139"/>
      <c r="D9" s="139"/>
      <c r="E9" s="139"/>
      <c r="F9" s="272">
        <v>53701595</v>
      </c>
      <c r="G9" s="272">
        <v>98622</v>
      </c>
      <c r="H9" s="272">
        <v>386377896</v>
      </c>
      <c r="I9" s="272">
        <v>122389</v>
      </c>
      <c r="J9" s="272">
        <v>406618525</v>
      </c>
      <c r="K9" s="272">
        <v>818113</v>
      </c>
      <c r="L9" s="272">
        <v>110220914</v>
      </c>
      <c r="M9" s="272">
        <v>185942</v>
      </c>
      <c r="N9" s="276">
        <v>299485009</v>
      </c>
      <c r="O9" s="276">
        <v>530547</v>
      </c>
      <c r="P9" s="272">
        <v>903217335</v>
      </c>
      <c r="Q9" s="272">
        <v>1126444</v>
      </c>
      <c r="R9" s="274">
        <v>956918930</v>
      </c>
      <c r="S9" s="275">
        <v>1225066</v>
      </c>
      <c r="T9" s="108">
        <v>846698016</v>
      </c>
      <c r="U9" s="108">
        <v>460320120</v>
      </c>
    </row>
    <row r="10" spans="1:21" x14ac:dyDescent="0.3">
      <c r="A10" s="139" t="s">
        <v>461</v>
      </c>
      <c r="B10" s="139" t="s">
        <v>11</v>
      </c>
      <c r="C10" s="139"/>
      <c r="D10" s="139"/>
      <c r="E10" s="139"/>
      <c r="F10" s="272">
        <v>93012170.489999995</v>
      </c>
      <c r="G10" s="272">
        <v>223306</v>
      </c>
      <c r="H10" s="272">
        <v>411203331.42000002</v>
      </c>
      <c r="I10" s="272">
        <v>77800.58</v>
      </c>
      <c r="J10" s="272">
        <v>428932727.98000002</v>
      </c>
      <c r="K10" s="272">
        <v>1149127.6599999999</v>
      </c>
      <c r="L10" s="272">
        <v>49059529.369999997</v>
      </c>
      <c r="M10" s="272">
        <v>112260.93</v>
      </c>
      <c r="N10" s="276">
        <v>208309021.09</v>
      </c>
      <c r="O10" s="276">
        <v>424940</v>
      </c>
      <c r="P10" s="272">
        <v>889195588.76999998</v>
      </c>
      <c r="Q10" s="272">
        <v>1339189.17</v>
      </c>
      <c r="R10" s="274">
        <v>982207759.25999999</v>
      </c>
      <c r="S10" s="275">
        <v>1562495.2</v>
      </c>
      <c r="T10" s="108">
        <v>933148229.8900001</v>
      </c>
      <c r="U10" s="108">
        <v>521944898.47000003</v>
      </c>
    </row>
    <row r="11" spans="1:21" x14ac:dyDescent="0.3">
      <c r="A11" s="139" t="s">
        <v>461</v>
      </c>
      <c r="B11" s="139" t="s">
        <v>12</v>
      </c>
      <c r="C11" s="139"/>
      <c r="D11" s="139"/>
      <c r="E11" s="139"/>
      <c r="F11" s="272">
        <v>124324848</v>
      </c>
      <c r="G11" s="272">
        <v>299098</v>
      </c>
      <c r="H11" s="272">
        <v>806133163</v>
      </c>
      <c r="I11" s="272">
        <v>335053</v>
      </c>
      <c r="J11" s="272">
        <v>574334702</v>
      </c>
      <c r="K11" s="272">
        <v>1564525</v>
      </c>
      <c r="L11" s="272">
        <v>0</v>
      </c>
      <c r="M11" s="272">
        <v>0</v>
      </c>
      <c r="N11" s="276">
        <v>188143335</v>
      </c>
      <c r="O11" s="276">
        <v>482407</v>
      </c>
      <c r="P11" s="272">
        <v>1380467865</v>
      </c>
      <c r="Q11" s="272">
        <v>1899578</v>
      </c>
      <c r="R11" s="274">
        <v>1504792713</v>
      </c>
      <c r="S11" s="275">
        <v>2198676</v>
      </c>
      <c r="T11" s="108">
        <v>1504792713</v>
      </c>
      <c r="U11" s="108">
        <v>698659550</v>
      </c>
    </row>
    <row r="12" spans="1:21" ht="20.399999999999999" x14ac:dyDescent="0.3">
      <c r="A12" s="139" t="s">
        <v>461</v>
      </c>
      <c r="B12" s="139" t="s">
        <v>13</v>
      </c>
      <c r="C12" s="139"/>
      <c r="D12" s="139"/>
      <c r="E12" s="139"/>
      <c r="F12" s="272">
        <v>23159677.920000002</v>
      </c>
      <c r="G12" s="272">
        <v>31043</v>
      </c>
      <c r="H12" s="272">
        <v>286866305.87</v>
      </c>
      <c r="I12" s="272">
        <v>50536.46</v>
      </c>
      <c r="J12" s="272">
        <v>151605493.18000001</v>
      </c>
      <c r="K12" s="272">
        <v>466315.03</v>
      </c>
      <c r="L12" s="272">
        <v>0</v>
      </c>
      <c r="M12" s="272">
        <v>0</v>
      </c>
      <c r="N12" s="276">
        <v>69967994.700000003</v>
      </c>
      <c r="O12" s="276">
        <v>229622.35</v>
      </c>
      <c r="P12" s="272">
        <v>438471799.05000001</v>
      </c>
      <c r="Q12" s="272">
        <v>516851.49</v>
      </c>
      <c r="R12" s="274">
        <v>461631476.97000003</v>
      </c>
      <c r="S12" s="275">
        <v>547894.79</v>
      </c>
      <c r="T12" s="108">
        <v>461631476.97000003</v>
      </c>
      <c r="U12" s="108">
        <v>174765171.10000002</v>
      </c>
    </row>
    <row r="13" spans="1:21" ht="20.399999999999999" x14ac:dyDescent="0.3">
      <c r="A13" s="139" t="s">
        <v>461</v>
      </c>
      <c r="B13" s="139" t="s">
        <v>14</v>
      </c>
      <c r="C13" s="139"/>
      <c r="D13" s="139"/>
      <c r="E13" s="139"/>
      <c r="F13" s="272">
        <v>15652695</v>
      </c>
      <c r="G13" s="272">
        <v>28237</v>
      </c>
      <c r="H13" s="272">
        <v>68991717.239999995</v>
      </c>
      <c r="I13" s="272">
        <v>4449.1400000000003</v>
      </c>
      <c r="J13" s="272">
        <v>54239172.579999998</v>
      </c>
      <c r="K13" s="272">
        <v>145335.38</v>
      </c>
      <c r="L13" s="272">
        <v>2742231.82</v>
      </c>
      <c r="M13" s="272">
        <v>5245.35</v>
      </c>
      <c r="N13" s="276">
        <v>18333712.800000001</v>
      </c>
      <c r="O13" s="276">
        <v>47599.3</v>
      </c>
      <c r="P13" s="272">
        <v>125973121.64</v>
      </c>
      <c r="Q13" s="272">
        <v>155029.87</v>
      </c>
      <c r="R13" s="274">
        <v>141625816.63999999</v>
      </c>
      <c r="S13" s="275">
        <v>183267.5</v>
      </c>
      <c r="T13" s="108">
        <v>138883584.81999999</v>
      </c>
      <c r="U13" s="108">
        <v>69891867.579999998</v>
      </c>
    </row>
    <row r="14" spans="1:21" ht="20.399999999999999" x14ac:dyDescent="0.3">
      <c r="A14" s="139" t="s">
        <v>461</v>
      </c>
      <c r="B14" s="139" t="s">
        <v>15</v>
      </c>
      <c r="C14" s="139"/>
      <c r="D14" s="139"/>
      <c r="E14" s="139"/>
      <c r="F14" s="272">
        <v>714434</v>
      </c>
      <c r="G14" s="272">
        <v>1284</v>
      </c>
      <c r="H14" s="272">
        <v>18356701</v>
      </c>
      <c r="I14" s="272">
        <v>793</v>
      </c>
      <c r="J14" s="272">
        <v>4378625</v>
      </c>
      <c r="K14" s="272">
        <v>12918</v>
      </c>
      <c r="L14" s="272">
        <v>0</v>
      </c>
      <c r="M14" s="272">
        <v>0</v>
      </c>
      <c r="N14" s="276">
        <v>0</v>
      </c>
      <c r="O14" s="276">
        <v>0</v>
      </c>
      <c r="P14" s="272">
        <v>22735326</v>
      </c>
      <c r="Q14" s="272">
        <v>13711</v>
      </c>
      <c r="R14" s="274">
        <v>23449760</v>
      </c>
      <c r="S14" s="275">
        <v>14995.4</v>
      </c>
      <c r="T14" s="108">
        <v>23449760</v>
      </c>
      <c r="U14" s="108">
        <v>5093059</v>
      </c>
    </row>
    <row r="15" spans="1:21" ht="20.399999999999999" x14ac:dyDescent="0.3">
      <c r="A15" s="139" t="s">
        <v>461</v>
      </c>
      <c r="B15" s="139" t="s">
        <v>16</v>
      </c>
      <c r="C15" s="139"/>
      <c r="D15" s="139"/>
      <c r="E15" s="139"/>
      <c r="F15" s="272">
        <v>958931</v>
      </c>
      <c r="G15" s="272">
        <v>0</v>
      </c>
      <c r="H15" s="272">
        <v>25536089</v>
      </c>
      <c r="I15" s="272">
        <v>0</v>
      </c>
      <c r="J15" s="272">
        <v>2420926</v>
      </c>
      <c r="K15" s="272">
        <v>10064</v>
      </c>
      <c r="L15" s="272">
        <v>0</v>
      </c>
      <c r="M15" s="272">
        <v>0</v>
      </c>
      <c r="N15" s="276">
        <v>0</v>
      </c>
      <c r="O15" s="276">
        <v>0</v>
      </c>
      <c r="P15" s="272">
        <v>27957015</v>
      </c>
      <c r="Q15" s="272">
        <v>10064</v>
      </c>
      <c r="R15" s="274">
        <v>28915946</v>
      </c>
      <c r="S15" s="275">
        <v>10064</v>
      </c>
      <c r="T15" s="108">
        <v>28915946</v>
      </c>
      <c r="U15" s="108">
        <v>3379857</v>
      </c>
    </row>
    <row r="16" spans="1:21" ht="30.6" x14ac:dyDescent="0.3">
      <c r="A16" s="139" t="s">
        <v>461</v>
      </c>
      <c r="B16" s="139" t="s">
        <v>463</v>
      </c>
      <c r="C16" s="139"/>
      <c r="D16" s="139"/>
      <c r="E16" s="139"/>
      <c r="F16" s="272">
        <v>0</v>
      </c>
      <c r="G16" s="272">
        <v>0</v>
      </c>
      <c r="H16" s="272">
        <v>0</v>
      </c>
      <c r="I16" s="272">
        <v>0</v>
      </c>
      <c r="J16" s="272">
        <v>0</v>
      </c>
      <c r="K16" s="272">
        <v>0</v>
      </c>
      <c r="L16" s="272">
        <v>0</v>
      </c>
      <c r="M16" s="272">
        <v>0</v>
      </c>
      <c r="N16" s="110"/>
      <c r="O16" s="110"/>
      <c r="P16" s="272">
        <v>0</v>
      </c>
      <c r="Q16" s="272">
        <v>0</v>
      </c>
      <c r="R16" s="274">
        <v>0</v>
      </c>
      <c r="S16" s="275">
        <v>0</v>
      </c>
      <c r="T16" s="108">
        <v>0</v>
      </c>
      <c r="U16" s="108">
        <v>0</v>
      </c>
    </row>
    <row r="17" spans="1:21" x14ac:dyDescent="0.3">
      <c r="A17" s="139" t="s">
        <v>461</v>
      </c>
      <c r="B17" s="139" t="s">
        <v>19</v>
      </c>
      <c r="C17" s="139"/>
      <c r="D17" s="139"/>
      <c r="E17" s="139"/>
      <c r="F17" s="272">
        <v>0</v>
      </c>
      <c r="G17" s="272">
        <v>0</v>
      </c>
      <c r="H17" s="272">
        <v>138000152</v>
      </c>
      <c r="I17" s="272">
        <v>5078</v>
      </c>
      <c r="J17" s="272">
        <v>101102624</v>
      </c>
      <c r="K17" s="272">
        <v>265407</v>
      </c>
      <c r="L17" s="272">
        <v>0</v>
      </c>
      <c r="M17" s="272">
        <v>0</v>
      </c>
      <c r="N17" s="276">
        <v>18907938</v>
      </c>
      <c r="O17" s="276">
        <v>63611.519999999997</v>
      </c>
      <c r="P17" s="272">
        <v>239102776</v>
      </c>
      <c r="Q17" s="272">
        <v>270485</v>
      </c>
      <c r="R17" s="274">
        <v>239102776</v>
      </c>
      <c r="S17" s="275">
        <v>270485</v>
      </c>
      <c r="T17" s="108">
        <v>239102776</v>
      </c>
      <c r="U17" s="108">
        <v>101102624</v>
      </c>
    </row>
    <row r="18" spans="1:21" x14ac:dyDescent="0.3">
      <c r="A18" s="139" t="s">
        <v>461</v>
      </c>
      <c r="B18" s="139" t="s">
        <v>457</v>
      </c>
      <c r="C18" s="139"/>
      <c r="D18" s="139"/>
      <c r="E18" s="139"/>
      <c r="F18" s="272">
        <v>268154034</v>
      </c>
      <c r="G18" s="272">
        <v>450197</v>
      </c>
      <c r="H18" s="272">
        <v>1834688591</v>
      </c>
      <c r="I18" s="272">
        <v>356881</v>
      </c>
      <c r="J18" s="272">
        <v>1333475212</v>
      </c>
      <c r="K18" s="272">
        <v>2985484</v>
      </c>
      <c r="L18" s="272">
        <v>38750816</v>
      </c>
      <c r="M18" s="272">
        <v>70779</v>
      </c>
      <c r="N18" s="276">
        <v>736462350</v>
      </c>
      <c r="O18" s="276">
        <v>1424447</v>
      </c>
      <c r="P18" s="272">
        <v>3206914619</v>
      </c>
      <c r="Q18" s="272">
        <v>3413144</v>
      </c>
      <c r="R18" s="274">
        <v>3475068653</v>
      </c>
      <c r="S18" s="275">
        <v>3863341</v>
      </c>
      <c r="T18" s="108">
        <v>3436317837</v>
      </c>
      <c r="U18" s="108">
        <v>1601629246</v>
      </c>
    </row>
    <row r="19" spans="1:21" x14ac:dyDescent="0.3">
      <c r="A19" s="139" t="s">
        <v>461</v>
      </c>
      <c r="B19" s="139" t="s">
        <v>20</v>
      </c>
      <c r="C19" s="139"/>
      <c r="D19" s="139"/>
      <c r="E19" s="139"/>
      <c r="F19" s="272">
        <v>174054452.80000001</v>
      </c>
      <c r="G19" s="272">
        <v>409214</v>
      </c>
      <c r="H19" s="272">
        <v>734905299.94000006</v>
      </c>
      <c r="I19" s="272">
        <v>172723.12</v>
      </c>
      <c r="J19" s="272">
        <v>699405305.30999994</v>
      </c>
      <c r="K19" s="272">
        <v>1920547.18</v>
      </c>
      <c r="L19" s="272">
        <v>98343365.390000001</v>
      </c>
      <c r="M19" s="272">
        <v>934263.03</v>
      </c>
      <c r="N19" s="276">
        <v>329931323.56</v>
      </c>
      <c r="O19" s="276">
        <v>837085.68</v>
      </c>
      <c r="P19" s="272">
        <v>1532653970.6400001</v>
      </c>
      <c r="Q19" s="272">
        <v>3027533.33</v>
      </c>
      <c r="R19" s="274">
        <v>1706708423.4400001</v>
      </c>
      <c r="S19" s="275">
        <v>3436747.54</v>
      </c>
      <c r="T19" s="108">
        <v>1608365058.05</v>
      </c>
      <c r="U19" s="108">
        <v>873459758.1099999</v>
      </c>
    </row>
    <row r="20" spans="1:21" x14ac:dyDescent="0.3">
      <c r="A20" s="139" t="s">
        <v>461</v>
      </c>
      <c r="B20" s="139" t="s">
        <v>21</v>
      </c>
      <c r="C20" s="139"/>
      <c r="D20" s="139"/>
      <c r="E20" s="139"/>
      <c r="F20" s="272">
        <v>178258809</v>
      </c>
      <c r="G20" s="272">
        <v>339034</v>
      </c>
      <c r="H20" s="272">
        <v>577734739</v>
      </c>
      <c r="I20" s="272">
        <v>129076</v>
      </c>
      <c r="J20" s="272">
        <v>408308042</v>
      </c>
      <c r="K20" s="272">
        <v>1126707</v>
      </c>
      <c r="L20" s="272">
        <v>9991343</v>
      </c>
      <c r="M20" s="272">
        <v>24863</v>
      </c>
      <c r="N20" s="276">
        <v>256610387</v>
      </c>
      <c r="O20" s="276">
        <v>583352</v>
      </c>
      <c r="P20" s="272">
        <v>996034124</v>
      </c>
      <c r="Q20" s="272">
        <v>1280646</v>
      </c>
      <c r="R20" s="274">
        <v>1174292933</v>
      </c>
      <c r="S20" s="275">
        <v>1619680</v>
      </c>
      <c r="T20" s="108">
        <v>1164301590</v>
      </c>
      <c r="U20" s="108">
        <v>586566851</v>
      </c>
    </row>
    <row r="21" spans="1:21" x14ac:dyDescent="0.3">
      <c r="A21" s="139" t="s">
        <v>461</v>
      </c>
      <c r="B21" s="139" t="s">
        <v>22</v>
      </c>
      <c r="C21" s="139"/>
      <c r="D21" s="139"/>
      <c r="E21" s="139"/>
      <c r="F21" s="272">
        <v>140053448.96000001</v>
      </c>
      <c r="G21" s="272">
        <v>270155</v>
      </c>
      <c r="H21" s="272">
        <v>966747541.61000001</v>
      </c>
      <c r="I21" s="272">
        <v>399802.04</v>
      </c>
      <c r="J21" s="272">
        <v>861774021.42999995</v>
      </c>
      <c r="K21" s="272">
        <v>2130569.06</v>
      </c>
      <c r="L21" s="272">
        <v>185372464.96000001</v>
      </c>
      <c r="M21" s="272">
        <v>336589.51</v>
      </c>
      <c r="N21" s="276">
        <v>504101767.66000003</v>
      </c>
      <c r="O21" s="276">
        <v>1160873</v>
      </c>
      <c r="P21" s="272">
        <v>2013894028</v>
      </c>
      <c r="Q21" s="272">
        <v>2866960.61</v>
      </c>
      <c r="R21" s="274">
        <v>2153947476.96</v>
      </c>
      <c r="S21" s="275">
        <v>3137116.22</v>
      </c>
      <c r="T21" s="108">
        <v>1968575012</v>
      </c>
      <c r="U21" s="108">
        <v>1001827470.39</v>
      </c>
    </row>
    <row r="22" spans="1:21" ht="20.399999999999999" x14ac:dyDescent="0.3">
      <c r="A22" s="139" t="s">
        <v>461</v>
      </c>
      <c r="B22" s="139" t="s">
        <v>23</v>
      </c>
      <c r="C22" s="139"/>
      <c r="D22" s="139"/>
      <c r="E22" s="139"/>
      <c r="F22" s="272">
        <v>29743517.02</v>
      </c>
      <c r="G22" s="272">
        <v>48565</v>
      </c>
      <c r="H22" s="272">
        <v>176654209.58000001</v>
      </c>
      <c r="I22" s="272">
        <v>22742.91</v>
      </c>
      <c r="J22" s="272">
        <v>88367945.980000004</v>
      </c>
      <c r="K22" s="272">
        <v>215671.64</v>
      </c>
      <c r="L22" s="272">
        <v>2539213.02</v>
      </c>
      <c r="M22" s="272">
        <v>4917.2700000000004</v>
      </c>
      <c r="N22" s="276">
        <v>48385446.159999996</v>
      </c>
      <c r="O22" s="276">
        <v>106918.85</v>
      </c>
      <c r="P22" s="272">
        <v>267561368.58000001</v>
      </c>
      <c r="Q22" s="272">
        <v>243331.82</v>
      </c>
      <c r="R22" s="274">
        <v>297304885.60000002</v>
      </c>
      <c r="S22" s="275">
        <v>291897.71000000002</v>
      </c>
      <c r="T22" s="108">
        <v>294765672.58000004</v>
      </c>
      <c r="U22" s="108">
        <v>118111463</v>
      </c>
    </row>
    <row r="23" spans="1:21" x14ac:dyDescent="0.3">
      <c r="A23" s="139" t="s">
        <v>461</v>
      </c>
      <c r="B23" s="139" t="s">
        <v>458</v>
      </c>
      <c r="C23" s="139"/>
      <c r="D23" s="139"/>
      <c r="E23" s="139"/>
      <c r="F23" s="272">
        <v>68011485</v>
      </c>
      <c r="G23" s="272">
        <v>127625</v>
      </c>
      <c r="H23" s="272">
        <v>231287278</v>
      </c>
      <c r="I23" s="272">
        <v>32174</v>
      </c>
      <c r="J23" s="272">
        <v>276488070</v>
      </c>
      <c r="K23" s="272">
        <v>611602</v>
      </c>
      <c r="L23" s="272">
        <v>74563562</v>
      </c>
      <c r="M23" s="272">
        <v>197773</v>
      </c>
      <c r="N23" s="276">
        <v>216950291</v>
      </c>
      <c r="O23" s="276">
        <v>429387.75</v>
      </c>
      <c r="P23" s="272">
        <v>582338910</v>
      </c>
      <c r="Q23" s="272">
        <v>841549</v>
      </c>
      <c r="R23" s="274">
        <v>650350395</v>
      </c>
      <c r="S23" s="275">
        <v>969174</v>
      </c>
      <c r="T23" s="108">
        <v>575786833</v>
      </c>
      <c r="U23" s="108">
        <v>344499555</v>
      </c>
    </row>
    <row r="24" spans="1:21" ht="20.399999999999999" x14ac:dyDescent="0.3">
      <c r="A24" s="139" t="s">
        <v>461</v>
      </c>
      <c r="B24" s="139" t="s">
        <v>26</v>
      </c>
      <c r="C24" s="139"/>
      <c r="D24" s="139"/>
      <c r="E24" s="139"/>
      <c r="F24" s="272">
        <v>7242900.7300000004</v>
      </c>
      <c r="G24" s="272">
        <v>13072</v>
      </c>
      <c r="H24" s="272">
        <v>41124493.909999996</v>
      </c>
      <c r="I24" s="272">
        <v>387.32</v>
      </c>
      <c r="J24" s="272">
        <v>7770010.7999999998</v>
      </c>
      <c r="K24" s="272">
        <v>19989.97</v>
      </c>
      <c r="L24" s="272">
        <v>0</v>
      </c>
      <c r="M24" s="272">
        <v>0</v>
      </c>
      <c r="N24" s="276">
        <v>0</v>
      </c>
      <c r="O24" s="276">
        <v>0</v>
      </c>
      <c r="P24" s="272">
        <v>48894504.710000001</v>
      </c>
      <c r="Q24" s="272">
        <v>20377.29</v>
      </c>
      <c r="R24" s="274">
        <v>56137405.439999998</v>
      </c>
      <c r="S24" s="275">
        <v>33449.83</v>
      </c>
      <c r="T24" s="108">
        <v>56137405.439999998</v>
      </c>
      <c r="U24" s="108">
        <v>15012911.530000001</v>
      </c>
    </row>
    <row r="25" spans="1:21" ht="20.399999999999999" x14ac:dyDescent="0.3">
      <c r="A25" s="139" t="s">
        <v>461</v>
      </c>
      <c r="B25" s="139" t="s">
        <v>27</v>
      </c>
      <c r="C25" s="139"/>
      <c r="D25" s="139"/>
      <c r="E25" s="139"/>
      <c r="F25" s="272">
        <v>62214686.780000001</v>
      </c>
      <c r="G25" s="272">
        <v>170636</v>
      </c>
      <c r="H25" s="272">
        <v>336538643.75</v>
      </c>
      <c r="I25" s="272">
        <v>69054.240000000005</v>
      </c>
      <c r="J25" s="272">
        <v>127429093.40000001</v>
      </c>
      <c r="K25" s="272">
        <v>378028</v>
      </c>
      <c r="L25" s="272">
        <v>10003470.029999999</v>
      </c>
      <c r="M25" s="272">
        <v>18968.349999999999</v>
      </c>
      <c r="N25" s="276">
        <v>28696443.100000001</v>
      </c>
      <c r="O25" s="276">
        <v>69594.95</v>
      </c>
      <c r="P25" s="272">
        <v>473971207.18000001</v>
      </c>
      <c r="Q25" s="272">
        <v>466050.59</v>
      </c>
      <c r="R25" s="274">
        <v>536185893.95999998</v>
      </c>
      <c r="S25" s="275">
        <v>636687.44999999995</v>
      </c>
      <c r="T25" s="108">
        <v>526182423.92999995</v>
      </c>
      <c r="U25" s="108">
        <v>189643780.18000001</v>
      </c>
    </row>
    <row r="26" spans="1:21" x14ac:dyDescent="0.3">
      <c r="A26" s="139" t="s">
        <v>461</v>
      </c>
      <c r="B26" s="139" t="s">
        <v>28</v>
      </c>
      <c r="C26" s="139"/>
      <c r="D26" s="139"/>
      <c r="E26" s="139"/>
      <c r="F26" s="272">
        <v>82343549</v>
      </c>
      <c r="G26" s="272">
        <v>208668</v>
      </c>
      <c r="H26" s="272">
        <v>205634847.88</v>
      </c>
      <c r="I26" s="272">
        <v>42058.05</v>
      </c>
      <c r="J26" s="272">
        <v>302771729.06999999</v>
      </c>
      <c r="K26" s="272">
        <v>663416.93999999994</v>
      </c>
      <c r="L26" s="272">
        <v>3347054.46</v>
      </c>
      <c r="M26" s="272">
        <v>55632.4</v>
      </c>
      <c r="N26" s="276">
        <v>250809335.18000001</v>
      </c>
      <c r="O26" s="276">
        <v>561209.59</v>
      </c>
      <c r="P26" s="272">
        <v>511753631.41000003</v>
      </c>
      <c r="Q26" s="272">
        <v>761107.39</v>
      </c>
      <c r="R26" s="274">
        <v>594097180.40999997</v>
      </c>
      <c r="S26" s="275">
        <v>969775.39</v>
      </c>
      <c r="T26" s="108">
        <v>590750125.95000005</v>
      </c>
      <c r="U26" s="108">
        <v>385115278.06999999</v>
      </c>
    </row>
    <row r="27" spans="1:21" ht="20.399999999999999" x14ac:dyDescent="0.3">
      <c r="A27" s="139" t="s">
        <v>461</v>
      </c>
      <c r="B27" s="139" t="s">
        <v>29</v>
      </c>
      <c r="C27" s="139"/>
      <c r="D27" s="139"/>
      <c r="E27" s="139"/>
      <c r="F27" s="272">
        <v>383112.14</v>
      </c>
      <c r="G27" s="272">
        <v>0</v>
      </c>
      <c r="H27" s="272">
        <v>55064499</v>
      </c>
      <c r="I27" s="272">
        <v>0</v>
      </c>
      <c r="J27" s="272">
        <v>15584310</v>
      </c>
      <c r="K27" s="272">
        <v>47713</v>
      </c>
      <c r="L27" s="272">
        <v>0</v>
      </c>
      <c r="M27" s="272">
        <v>0</v>
      </c>
      <c r="N27" s="276">
        <v>0</v>
      </c>
      <c r="O27" s="276">
        <v>0</v>
      </c>
      <c r="P27" s="272">
        <v>70648809</v>
      </c>
      <c r="Q27" s="272">
        <v>47713</v>
      </c>
      <c r="R27" s="274">
        <v>71031921.140000001</v>
      </c>
      <c r="S27" s="275">
        <v>47713</v>
      </c>
      <c r="T27" s="108">
        <v>71031921.140000001</v>
      </c>
      <c r="U27" s="108">
        <v>15967422.140000001</v>
      </c>
    </row>
    <row r="28" spans="1:21" ht="20.399999999999999" x14ac:dyDescent="0.3">
      <c r="A28" s="139" t="s">
        <v>461</v>
      </c>
      <c r="B28" s="139" t="s">
        <v>30</v>
      </c>
      <c r="C28" s="139"/>
      <c r="D28" s="139"/>
      <c r="E28" s="139"/>
      <c r="F28" s="272">
        <v>80852425.689999998</v>
      </c>
      <c r="G28" s="272">
        <v>125665</v>
      </c>
      <c r="H28" s="272">
        <v>540379778.22000003</v>
      </c>
      <c r="I28" s="272">
        <v>149994.82</v>
      </c>
      <c r="J28" s="272">
        <v>213461518.09999999</v>
      </c>
      <c r="K28" s="272">
        <v>511709.42</v>
      </c>
      <c r="L28" s="272">
        <v>3291003.43</v>
      </c>
      <c r="M28" s="272">
        <v>6257.46</v>
      </c>
      <c r="N28" s="276">
        <v>63842839.359999999</v>
      </c>
      <c r="O28" s="276">
        <v>127307.35</v>
      </c>
      <c r="P28" s="272">
        <v>757132299.75</v>
      </c>
      <c r="Q28" s="272">
        <v>667961.69999999995</v>
      </c>
      <c r="R28" s="274">
        <v>837984725.44000006</v>
      </c>
      <c r="S28" s="275">
        <v>793627.15</v>
      </c>
      <c r="T28" s="108">
        <v>834693722.01000011</v>
      </c>
      <c r="U28" s="108">
        <v>294313943.78999996</v>
      </c>
    </row>
    <row r="29" spans="1:21" ht="20.399999999999999" x14ac:dyDescent="0.3">
      <c r="A29" s="139" t="s">
        <v>461</v>
      </c>
      <c r="B29" s="139" t="s">
        <v>31</v>
      </c>
      <c r="C29" s="139"/>
      <c r="D29" s="139"/>
      <c r="E29" s="139"/>
      <c r="F29" s="272">
        <v>15434287.130000001</v>
      </c>
      <c r="G29" s="272">
        <v>27360</v>
      </c>
      <c r="H29" s="272">
        <v>120664984.84</v>
      </c>
      <c r="I29" s="272">
        <v>13360.43</v>
      </c>
      <c r="J29" s="272">
        <v>107623677.3</v>
      </c>
      <c r="K29" s="272">
        <v>301124.51</v>
      </c>
      <c r="L29" s="272">
        <v>3220636.58</v>
      </c>
      <c r="M29" s="272">
        <v>6393.31</v>
      </c>
      <c r="N29" s="276">
        <v>5292286.3</v>
      </c>
      <c r="O29" s="276">
        <v>12408.73</v>
      </c>
      <c r="P29" s="272">
        <v>231509298.72</v>
      </c>
      <c r="Q29" s="272">
        <v>320878.25</v>
      </c>
      <c r="R29" s="274">
        <v>246943585.84999999</v>
      </c>
      <c r="S29" s="275">
        <v>348239.01</v>
      </c>
      <c r="T29" s="108">
        <v>243722949.26999998</v>
      </c>
      <c r="U29" s="108">
        <v>123057964.42999999</v>
      </c>
    </row>
    <row r="30" spans="1:21" x14ac:dyDescent="0.3">
      <c r="A30" s="139" t="s">
        <v>461</v>
      </c>
      <c r="B30" s="139" t="s">
        <v>32</v>
      </c>
      <c r="C30" s="139"/>
      <c r="D30" s="139"/>
      <c r="E30" s="139"/>
      <c r="F30" s="272">
        <v>55102269</v>
      </c>
      <c r="G30" s="272">
        <v>112714</v>
      </c>
      <c r="H30" s="272">
        <v>266978897</v>
      </c>
      <c r="I30" s="272">
        <v>34275</v>
      </c>
      <c r="J30" s="272">
        <v>177634218</v>
      </c>
      <c r="K30" s="272">
        <v>477271</v>
      </c>
      <c r="L30" s="272">
        <v>3683237</v>
      </c>
      <c r="M30" s="272">
        <v>6989</v>
      </c>
      <c r="N30" s="276">
        <v>69749927</v>
      </c>
      <c r="O30" s="276">
        <v>145039</v>
      </c>
      <c r="P30" s="272">
        <v>448296352</v>
      </c>
      <c r="Q30" s="272">
        <v>518535</v>
      </c>
      <c r="R30" s="274">
        <v>503398621</v>
      </c>
      <c r="S30" s="275">
        <v>631249</v>
      </c>
      <c r="T30" s="108">
        <v>499715384</v>
      </c>
      <c r="U30" s="108">
        <v>232736487</v>
      </c>
    </row>
    <row r="31" spans="1:21" ht="20.399999999999999" x14ac:dyDescent="0.3">
      <c r="A31" s="139" t="s">
        <v>461</v>
      </c>
      <c r="B31" s="139" t="s">
        <v>33</v>
      </c>
      <c r="C31" s="139"/>
      <c r="D31" s="139"/>
      <c r="E31" s="139"/>
      <c r="F31" s="272">
        <v>1171351.8</v>
      </c>
      <c r="G31" s="272">
        <v>1964</v>
      </c>
      <c r="H31" s="272">
        <v>33987228.93</v>
      </c>
      <c r="I31" s="272">
        <v>7914.2</v>
      </c>
      <c r="J31" s="272">
        <v>39236960.420000002</v>
      </c>
      <c r="K31" s="272">
        <v>115596.87</v>
      </c>
      <c r="L31" s="272">
        <v>0</v>
      </c>
      <c r="M31" s="272">
        <v>0</v>
      </c>
      <c r="N31" s="276">
        <v>26278009.32</v>
      </c>
      <c r="O31" s="276">
        <v>81903.88</v>
      </c>
      <c r="P31" s="272">
        <v>73224189.349999994</v>
      </c>
      <c r="Q31" s="272">
        <v>123511.07</v>
      </c>
      <c r="R31" s="274">
        <v>74395541.150000006</v>
      </c>
      <c r="S31" s="275">
        <v>125475.43</v>
      </c>
      <c r="T31" s="108">
        <v>74395541.150000006</v>
      </c>
      <c r="U31" s="108">
        <v>40408312.219999999</v>
      </c>
    </row>
    <row r="32" spans="1:21" x14ac:dyDescent="0.3">
      <c r="A32" s="139" t="s">
        <v>461</v>
      </c>
      <c r="B32" s="139" t="s">
        <v>34</v>
      </c>
      <c r="C32" s="139"/>
      <c r="D32" s="139"/>
      <c r="E32" s="139"/>
      <c r="F32" s="272">
        <v>785941</v>
      </c>
      <c r="G32" s="272">
        <v>0</v>
      </c>
      <c r="H32" s="272">
        <v>16544492</v>
      </c>
      <c r="I32" s="272">
        <v>0</v>
      </c>
      <c r="J32" s="272">
        <v>3093576</v>
      </c>
      <c r="K32" s="272">
        <v>9673.2999999999993</v>
      </c>
      <c r="L32" s="272">
        <v>0</v>
      </c>
      <c r="M32" s="272">
        <v>0</v>
      </c>
      <c r="N32" s="276">
        <v>0</v>
      </c>
      <c r="O32" s="276">
        <v>0</v>
      </c>
      <c r="P32" s="272">
        <v>19638068</v>
      </c>
      <c r="Q32" s="272">
        <v>9673.2999999999993</v>
      </c>
      <c r="R32" s="274">
        <v>20424009</v>
      </c>
      <c r="S32" s="275">
        <v>9673.2999999999993</v>
      </c>
      <c r="T32" s="108">
        <v>20424009</v>
      </c>
      <c r="U32" s="108">
        <v>3879517</v>
      </c>
    </row>
    <row r="33" spans="1:21" x14ac:dyDescent="0.3">
      <c r="A33" s="139" t="s">
        <v>461</v>
      </c>
      <c r="B33" s="139" t="s">
        <v>35</v>
      </c>
      <c r="C33" s="139"/>
      <c r="D33" s="139"/>
      <c r="E33" s="139"/>
      <c r="F33" s="272">
        <v>15349780.189999999</v>
      </c>
      <c r="G33" s="272">
        <v>24497</v>
      </c>
      <c r="H33" s="272">
        <v>62831181</v>
      </c>
      <c r="I33" s="272">
        <v>136</v>
      </c>
      <c r="J33" s="272">
        <v>58893786</v>
      </c>
      <c r="K33" s="272">
        <v>153597</v>
      </c>
      <c r="L33" s="272">
        <v>0</v>
      </c>
      <c r="M33" s="272">
        <v>0</v>
      </c>
      <c r="N33" s="276">
        <v>13664277</v>
      </c>
      <c r="O33" s="276">
        <v>32248</v>
      </c>
      <c r="P33" s="272">
        <v>121724967</v>
      </c>
      <c r="Q33" s="272">
        <v>153733</v>
      </c>
      <c r="R33" s="274">
        <v>137074747.19</v>
      </c>
      <c r="S33" s="275">
        <v>178230.03</v>
      </c>
      <c r="T33" s="108">
        <v>137074747.19</v>
      </c>
      <c r="U33" s="108">
        <v>74243566.189999998</v>
      </c>
    </row>
    <row r="34" spans="1:21" x14ac:dyDescent="0.3">
      <c r="A34" s="139" t="s">
        <v>461</v>
      </c>
      <c r="B34" s="139" t="s">
        <v>36</v>
      </c>
      <c r="C34" s="139"/>
      <c r="D34" s="139"/>
      <c r="E34" s="139"/>
      <c r="F34" s="272">
        <v>2345661982.8499999</v>
      </c>
      <c r="G34" s="272">
        <v>4162240</v>
      </c>
      <c r="H34" s="272">
        <v>15889662049.66</v>
      </c>
      <c r="I34" s="272">
        <v>1764778.01</v>
      </c>
      <c r="J34" s="272">
        <v>7793504712.6300001</v>
      </c>
      <c r="K34" s="272">
        <v>22269344.120000001</v>
      </c>
      <c r="L34" s="272">
        <v>9949659113</v>
      </c>
      <c r="M34" s="272">
        <v>19900942</v>
      </c>
      <c r="N34" s="276">
        <v>4186146405.6999998</v>
      </c>
      <c r="O34" s="276">
        <v>9522854.75</v>
      </c>
      <c r="P34" s="272">
        <v>33632825875.290001</v>
      </c>
      <c r="Q34" s="272">
        <v>43935064.130000003</v>
      </c>
      <c r="R34" s="274">
        <v>35978487858.139999</v>
      </c>
      <c r="S34" s="275">
        <v>48097304.490000002</v>
      </c>
      <c r="T34" s="108">
        <v>26028828745.139999</v>
      </c>
      <c r="U34" s="108">
        <v>10139166695.48</v>
      </c>
    </row>
    <row r="35" spans="1:21" ht="20.399999999999999" x14ac:dyDescent="0.3">
      <c r="A35" s="139" t="s">
        <v>461</v>
      </c>
      <c r="B35" s="139" t="s">
        <v>37</v>
      </c>
      <c r="C35" s="139"/>
      <c r="D35" s="139"/>
      <c r="E35" s="139"/>
      <c r="F35" s="272">
        <v>0</v>
      </c>
      <c r="G35" s="272">
        <v>0</v>
      </c>
      <c r="H35" s="272">
        <v>0</v>
      </c>
      <c r="I35" s="272">
        <v>0</v>
      </c>
      <c r="J35" s="272">
        <v>0</v>
      </c>
      <c r="K35" s="272">
        <v>0</v>
      </c>
      <c r="L35" s="272">
        <v>0</v>
      </c>
      <c r="M35" s="272">
        <v>0</v>
      </c>
      <c r="N35" s="276">
        <v>0</v>
      </c>
      <c r="O35" s="276">
        <v>0</v>
      </c>
      <c r="P35" s="272">
        <v>0</v>
      </c>
      <c r="Q35" s="272">
        <v>0</v>
      </c>
      <c r="R35" s="274">
        <v>0</v>
      </c>
      <c r="S35" s="275">
        <v>0</v>
      </c>
      <c r="T35" s="108">
        <v>0</v>
      </c>
      <c r="U35" s="108">
        <v>0</v>
      </c>
    </row>
    <row r="36" spans="1:21" x14ac:dyDescent="0.3">
      <c r="A36" s="139" t="s">
        <v>461</v>
      </c>
      <c r="B36" s="139" t="s">
        <v>38</v>
      </c>
      <c r="C36" s="139"/>
      <c r="D36" s="139"/>
      <c r="E36" s="139"/>
      <c r="F36" s="272">
        <v>447228753</v>
      </c>
      <c r="G36" s="272">
        <v>736635</v>
      </c>
      <c r="H36" s="272">
        <v>3324671135</v>
      </c>
      <c r="I36" s="272">
        <v>826568</v>
      </c>
      <c r="J36" s="272">
        <v>3262093758</v>
      </c>
      <c r="K36" s="272">
        <v>7426118</v>
      </c>
      <c r="L36" s="272">
        <v>32404319</v>
      </c>
      <c r="M36" s="272">
        <v>94176</v>
      </c>
      <c r="N36" s="276">
        <v>1316072090</v>
      </c>
      <c r="O36" s="276">
        <v>2548531</v>
      </c>
      <c r="P36" s="272">
        <v>6619169212</v>
      </c>
      <c r="Q36" s="272">
        <v>8346862</v>
      </c>
      <c r="R36" s="274">
        <v>7066397965</v>
      </c>
      <c r="S36" s="275">
        <v>9083497</v>
      </c>
      <c r="T36" s="108">
        <v>7033993646</v>
      </c>
      <c r="U36" s="108">
        <v>3709322511</v>
      </c>
    </row>
    <row r="37" spans="1:21" x14ac:dyDescent="0.3">
      <c r="A37" s="139" t="s">
        <v>461</v>
      </c>
      <c r="B37" s="139" t="s">
        <v>39</v>
      </c>
      <c r="C37" s="139"/>
      <c r="D37" s="139"/>
      <c r="E37" s="139"/>
      <c r="F37" s="272">
        <v>12751358.15</v>
      </c>
      <c r="G37" s="272">
        <v>16935</v>
      </c>
      <c r="H37" s="272">
        <v>208348286.19999999</v>
      </c>
      <c r="I37" s="272">
        <v>8634.27</v>
      </c>
      <c r="J37" s="272">
        <v>54793178.119999997</v>
      </c>
      <c r="K37" s="272">
        <v>130393.2</v>
      </c>
      <c r="L37" s="272">
        <v>0</v>
      </c>
      <c r="M37" s="272">
        <v>0</v>
      </c>
      <c r="N37" s="276">
        <v>10131924.779999999</v>
      </c>
      <c r="O37" s="276">
        <v>22716.58</v>
      </c>
      <c r="P37" s="272">
        <v>263141464.31999999</v>
      </c>
      <c r="Q37" s="272">
        <v>139027.47</v>
      </c>
      <c r="R37" s="274">
        <v>275892822.47000003</v>
      </c>
      <c r="S37" s="275">
        <v>155963.42000000001</v>
      </c>
      <c r="T37" s="108">
        <v>275892822.46999997</v>
      </c>
      <c r="U37" s="108">
        <v>67544536.269999996</v>
      </c>
    </row>
    <row r="38" spans="1:21" ht="20.399999999999999" x14ac:dyDescent="0.3">
      <c r="A38" s="139" t="s">
        <v>461</v>
      </c>
      <c r="B38" s="139" t="s">
        <v>40</v>
      </c>
      <c r="C38" s="139"/>
      <c r="D38" s="139"/>
      <c r="E38" s="139"/>
      <c r="F38" s="272">
        <v>111582632.95999999</v>
      </c>
      <c r="G38" s="272">
        <v>202219</v>
      </c>
      <c r="H38" s="272">
        <v>291689180.68000001</v>
      </c>
      <c r="I38" s="272">
        <v>92273.54</v>
      </c>
      <c r="J38" s="272">
        <v>253033373.25999999</v>
      </c>
      <c r="K38" s="272">
        <v>596151.43000000005</v>
      </c>
      <c r="L38" s="272">
        <v>3589567.13</v>
      </c>
      <c r="M38" s="272">
        <v>6261.78</v>
      </c>
      <c r="N38" s="276">
        <v>190731299.90000001</v>
      </c>
      <c r="O38" s="276">
        <v>408158.74</v>
      </c>
      <c r="P38" s="272">
        <v>548312121.07000005</v>
      </c>
      <c r="Q38" s="272">
        <v>694686.75</v>
      </c>
      <c r="R38" s="274">
        <v>659894754.02999997</v>
      </c>
      <c r="S38" s="275">
        <v>896906.26</v>
      </c>
      <c r="T38" s="108">
        <v>656305186.89999998</v>
      </c>
      <c r="U38" s="108">
        <v>364616006.21999997</v>
      </c>
    </row>
    <row r="39" spans="1:21" ht="20.399999999999999" x14ac:dyDescent="0.3">
      <c r="A39" s="139" t="s">
        <v>461</v>
      </c>
      <c r="B39" s="139" t="s">
        <v>41</v>
      </c>
      <c r="C39" s="139"/>
      <c r="D39" s="139"/>
      <c r="E39" s="139"/>
      <c r="F39" s="272">
        <v>171486044.19999999</v>
      </c>
      <c r="G39" s="272">
        <v>375741</v>
      </c>
      <c r="H39" s="272">
        <v>1017526315.75</v>
      </c>
      <c r="I39" s="272">
        <v>0</v>
      </c>
      <c r="J39" s="272">
        <v>557470232.37</v>
      </c>
      <c r="K39" s="272">
        <v>1730857.05</v>
      </c>
      <c r="L39" s="272">
        <v>33278455.629999999</v>
      </c>
      <c r="M39" s="272">
        <v>87690.84</v>
      </c>
      <c r="N39" s="276">
        <v>258991768.72999999</v>
      </c>
      <c r="O39" s="276">
        <v>623261.6</v>
      </c>
      <c r="P39" s="272">
        <v>1608275003.75</v>
      </c>
      <c r="Q39" s="272">
        <v>1818547.89</v>
      </c>
      <c r="R39" s="274">
        <v>1779761047.95</v>
      </c>
      <c r="S39" s="275">
        <v>2194289.6</v>
      </c>
      <c r="T39" s="108">
        <v>1746482592.3200002</v>
      </c>
      <c r="U39" s="108">
        <v>728956276.56999993</v>
      </c>
    </row>
    <row r="40" spans="1:21" x14ac:dyDescent="0.3">
      <c r="A40" s="139" t="s">
        <v>461</v>
      </c>
      <c r="B40" s="139" t="s">
        <v>42</v>
      </c>
      <c r="C40" s="139"/>
      <c r="D40" s="139"/>
      <c r="E40" s="139"/>
      <c r="F40" s="272">
        <v>49809031.030000001</v>
      </c>
      <c r="G40" s="272">
        <v>104826</v>
      </c>
      <c r="H40" s="272">
        <v>190365708.36000001</v>
      </c>
      <c r="I40" s="272">
        <v>226538.91</v>
      </c>
      <c r="J40" s="272">
        <v>0</v>
      </c>
      <c r="K40" s="272">
        <v>0</v>
      </c>
      <c r="L40" s="272">
        <v>0</v>
      </c>
      <c r="M40" s="272">
        <v>0</v>
      </c>
      <c r="N40" s="276">
        <v>64538994.280000001</v>
      </c>
      <c r="O40" s="276">
        <v>146455</v>
      </c>
      <c r="P40" s="272">
        <v>190365708.36000001</v>
      </c>
      <c r="Q40" s="272">
        <v>226538.91</v>
      </c>
      <c r="R40" s="274">
        <v>240174739.38999999</v>
      </c>
      <c r="S40" s="275">
        <v>331365.34000000003</v>
      </c>
      <c r="T40" s="108">
        <v>240174739.39000002</v>
      </c>
      <c r="U40" s="108">
        <v>49809031.030000001</v>
      </c>
    </row>
    <row r="41" spans="1:21" ht="20.399999999999999" x14ac:dyDescent="0.3">
      <c r="A41" s="139" t="s">
        <v>461</v>
      </c>
      <c r="B41" s="139" t="s">
        <v>43</v>
      </c>
      <c r="C41" s="139"/>
      <c r="D41" s="139"/>
      <c r="E41" s="139"/>
      <c r="F41" s="272">
        <v>30309928.16</v>
      </c>
      <c r="G41" s="272">
        <v>45450</v>
      </c>
      <c r="H41" s="272">
        <v>162499095.86000001</v>
      </c>
      <c r="I41" s="272">
        <v>17453.78</v>
      </c>
      <c r="J41" s="272">
        <v>93363362.769999996</v>
      </c>
      <c r="K41" s="272">
        <v>231042.1</v>
      </c>
      <c r="L41" s="272">
        <v>0</v>
      </c>
      <c r="M41" s="272">
        <v>0</v>
      </c>
      <c r="N41" s="276">
        <v>47392497</v>
      </c>
      <c r="O41" s="276">
        <v>101885</v>
      </c>
      <c r="P41" s="272">
        <v>255862458.63</v>
      </c>
      <c r="Q41" s="272">
        <v>248495.88</v>
      </c>
      <c r="R41" s="274">
        <v>286172386.79000002</v>
      </c>
      <c r="S41" s="275">
        <v>293946.69</v>
      </c>
      <c r="T41" s="108">
        <v>286172386.79000002</v>
      </c>
      <c r="U41" s="108">
        <v>123673290.92999999</v>
      </c>
    </row>
    <row r="42" spans="1:21" x14ac:dyDescent="0.3">
      <c r="A42" s="139" t="s">
        <v>461</v>
      </c>
      <c r="B42" s="139" t="s">
        <v>44</v>
      </c>
      <c r="C42" s="139"/>
      <c r="D42" s="139"/>
      <c r="E42" s="139"/>
      <c r="F42" s="272">
        <v>251073819.78999999</v>
      </c>
      <c r="G42" s="272">
        <v>457660</v>
      </c>
      <c r="H42" s="272">
        <v>1637995869.6099999</v>
      </c>
      <c r="I42" s="272">
        <v>426303.01</v>
      </c>
      <c r="J42" s="272">
        <v>1178789040.21</v>
      </c>
      <c r="K42" s="272">
        <v>3000563.08</v>
      </c>
      <c r="L42" s="272">
        <v>15096527.83</v>
      </c>
      <c r="M42" s="272">
        <v>29024.55</v>
      </c>
      <c r="N42" s="276">
        <v>507754510.06999999</v>
      </c>
      <c r="O42" s="276">
        <v>1193453.3</v>
      </c>
      <c r="P42" s="272">
        <v>2831881437.6500001</v>
      </c>
      <c r="Q42" s="272">
        <v>3455890.64</v>
      </c>
      <c r="R42" s="274">
        <v>3082955257.4400001</v>
      </c>
      <c r="S42" s="275">
        <v>3913551.57</v>
      </c>
      <c r="T42" s="108">
        <v>3067858729.6099997</v>
      </c>
      <c r="U42" s="108">
        <v>1429862860</v>
      </c>
    </row>
    <row r="43" spans="1:21" ht="20.399999999999999" x14ac:dyDescent="0.3">
      <c r="A43" s="139" t="s">
        <v>461</v>
      </c>
      <c r="B43" s="139" t="s">
        <v>0</v>
      </c>
      <c r="C43" s="139"/>
      <c r="D43" s="139"/>
      <c r="E43" s="139"/>
      <c r="F43" s="272">
        <v>48174787</v>
      </c>
      <c r="G43" s="272">
        <v>80723</v>
      </c>
      <c r="H43" s="272">
        <v>444778779</v>
      </c>
      <c r="I43" s="272">
        <v>69902</v>
      </c>
      <c r="J43" s="272">
        <v>416499649</v>
      </c>
      <c r="K43" s="272">
        <v>970264</v>
      </c>
      <c r="L43" s="272">
        <v>4342865</v>
      </c>
      <c r="M43" s="272">
        <v>9041</v>
      </c>
      <c r="N43" s="276">
        <v>263205127</v>
      </c>
      <c r="O43" s="276">
        <v>517046</v>
      </c>
      <c r="P43" s="272">
        <v>865621293</v>
      </c>
      <c r="Q43" s="272">
        <v>1049207</v>
      </c>
      <c r="R43" s="274">
        <v>913796080</v>
      </c>
      <c r="S43" s="275">
        <v>1129930</v>
      </c>
      <c r="T43" s="108">
        <v>909453215</v>
      </c>
      <c r="U43" s="108">
        <v>464674436</v>
      </c>
    </row>
    <row r="44" spans="1:21" ht="20.399999999999999" x14ac:dyDescent="0.3">
      <c r="A44" s="139" t="s">
        <v>461</v>
      </c>
      <c r="B44" s="139" t="s">
        <v>45</v>
      </c>
      <c r="C44" s="139"/>
      <c r="D44" s="139"/>
      <c r="E44" s="139"/>
      <c r="F44" s="272">
        <v>90880802.079999998</v>
      </c>
      <c r="G44" s="272">
        <v>173787</v>
      </c>
      <c r="H44" s="272">
        <v>460974628.79000002</v>
      </c>
      <c r="I44" s="272">
        <v>55683</v>
      </c>
      <c r="J44" s="272">
        <v>255990090.09999999</v>
      </c>
      <c r="K44" s="272">
        <v>685312.8</v>
      </c>
      <c r="L44" s="272">
        <v>12512518</v>
      </c>
      <c r="M44" s="272">
        <v>55617</v>
      </c>
      <c r="N44" s="276">
        <v>91273937</v>
      </c>
      <c r="O44" s="276">
        <v>255956.1</v>
      </c>
      <c r="P44" s="272">
        <v>729477236.88999999</v>
      </c>
      <c r="Q44" s="272">
        <v>796612.8</v>
      </c>
      <c r="R44" s="274">
        <v>820358038.97000003</v>
      </c>
      <c r="S44" s="275">
        <v>970400.32</v>
      </c>
      <c r="T44" s="108">
        <v>807845520.97000003</v>
      </c>
      <c r="U44" s="108">
        <v>346870892.18000001</v>
      </c>
    </row>
    <row r="45" spans="1:21" ht="20.399999999999999" x14ac:dyDescent="0.3">
      <c r="A45" s="139" t="s">
        <v>461</v>
      </c>
      <c r="B45" s="139" t="s">
        <v>46</v>
      </c>
      <c r="C45" s="139"/>
      <c r="D45" s="139"/>
      <c r="E45" s="139"/>
      <c r="F45" s="272">
        <v>78458851</v>
      </c>
      <c r="G45" s="272">
        <v>133698</v>
      </c>
      <c r="H45" s="272">
        <v>545130506</v>
      </c>
      <c r="I45" s="272">
        <v>911</v>
      </c>
      <c r="J45" s="272">
        <v>522438653</v>
      </c>
      <c r="K45" s="272">
        <v>1318893</v>
      </c>
      <c r="L45" s="272">
        <v>2939507</v>
      </c>
      <c r="M45" s="272">
        <v>5663</v>
      </c>
      <c r="N45" s="276">
        <v>143401848</v>
      </c>
      <c r="O45" s="276">
        <v>343288</v>
      </c>
      <c r="P45" s="272">
        <v>1070508666</v>
      </c>
      <c r="Q45" s="272">
        <v>1325467</v>
      </c>
      <c r="R45" s="274">
        <v>1148967517</v>
      </c>
      <c r="S45" s="275">
        <v>1459165</v>
      </c>
      <c r="T45" s="108">
        <v>1146028010</v>
      </c>
      <c r="U45" s="108">
        <v>600897504</v>
      </c>
    </row>
    <row r="46" spans="1:21" ht="20.399999999999999" x14ac:dyDescent="0.3">
      <c r="A46" s="139" t="s">
        <v>461</v>
      </c>
      <c r="B46" s="139" t="s">
        <v>47</v>
      </c>
      <c r="C46" s="139"/>
      <c r="D46" s="139"/>
      <c r="E46" s="139"/>
      <c r="F46" s="272">
        <v>18008307.190000001</v>
      </c>
      <c r="G46" s="272">
        <v>37027</v>
      </c>
      <c r="H46" s="272">
        <v>118641630.36</v>
      </c>
      <c r="I46" s="272">
        <v>10754.04</v>
      </c>
      <c r="J46" s="272">
        <v>85411178.349999994</v>
      </c>
      <c r="K46" s="272">
        <v>235200.71</v>
      </c>
      <c r="L46" s="272">
        <v>0</v>
      </c>
      <c r="M46" s="272">
        <v>0</v>
      </c>
      <c r="N46" s="276">
        <v>30407916.600000001</v>
      </c>
      <c r="O46" s="276">
        <v>97952.1</v>
      </c>
      <c r="P46" s="272">
        <v>204052808.71000001</v>
      </c>
      <c r="Q46" s="272">
        <v>245954.75</v>
      </c>
      <c r="R46" s="274">
        <v>222061115.90000001</v>
      </c>
      <c r="S46" s="275">
        <v>282982.2</v>
      </c>
      <c r="T46" s="108">
        <v>222061115.90000001</v>
      </c>
      <c r="U46" s="108">
        <v>103419485.53999999</v>
      </c>
    </row>
    <row r="47" spans="1:21" ht="20.399999999999999" x14ac:dyDescent="0.3">
      <c r="A47" s="139" t="s">
        <v>461</v>
      </c>
      <c r="B47" s="139" t="s">
        <v>48</v>
      </c>
      <c r="C47" s="139"/>
      <c r="D47" s="139"/>
      <c r="E47" s="139"/>
      <c r="F47" s="272">
        <v>45214358.049999997</v>
      </c>
      <c r="G47" s="272">
        <v>86450</v>
      </c>
      <c r="H47" s="272">
        <v>271883361.72000003</v>
      </c>
      <c r="I47" s="272">
        <v>47881.11</v>
      </c>
      <c r="J47" s="272">
        <v>159552500.19</v>
      </c>
      <c r="K47" s="272">
        <v>393524.44</v>
      </c>
      <c r="L47" s="272">
        <v>0</v>
      </c>
      <c r="M47" s="272">
        <v>0</v>
      </c>
      <c r="N47" s="276">
        <v>40971371.719999999</v>
      </c>
      <c r="O47" s="276">
        <v>89566.39</v>
      </c>
      <c r="P47" s="272">
        <v>431435861.91000003</v>
      </c>
      <c r="Q47" s="272">
        <v>441405.55</v>
      </c>
      <c r="R47" s="274">
        <v>476650219.95999998</v>
      </c>
      <c r="S47" s="275">
        <v>527855.94999999995</v>
      </c>
      <c r="T47" s="108">
        <v>476650219.96000004</v>
      </c>
      <c r="U47" s="108">
        <v>204766858.24000001</v>
      </c>
    </row>
    <row r="48" spans="1:21" ht="20.399999999999999" x14ac:dyDescent="0.3">
      <c r="A48" s="139" t="s">
        <v>461</v>
      </c>
      <c r="B48" s="139" t="s">
        <v>49</v>
      </c>
      <c r="C48" s="139"/>
      <c r="D48" s="139"/>
      <c r="E48" s="139"/>
      <c r="F48" s="272">
        <v>15221119</v>
      </c>
      <c r="G48" s="272">
        <v>30503</v>
      </c>
      <c r="H48" s="272">
        <v>52999559</v>
      </c>
      <c r="I48" s="272">
        <v>0</v>
      </c>
      <c r="J48" s="272">
        <v>46782861</v>
      </c>
      <c r="K48" s="272">
        <v>132084</v>
      </c>
      <c r="L48" s="272">
        <v>0</v>
      </c>
      <c r="M48" s="272">
        <v>0</v>
      </c>
      <c r="N48" s="276">
        <v>24067489</v>
      </c>
      <c r="O48" s="276">
        <v>71690</v>
      </c>
      <c r="P48" s="272">
        <v>99782420</v>
      </c>
      <c r="Q48" s="272">
        <v>132084</v>
      </c>
      <c r="R48" s="274">
        <v>115003539</v>
      </c>
      <c r="S48" s="275">
        <v>162587</v>
      </c>
      <c r="T48" s="108">
        <v>115003539</v>
      </c>
      <c r="U48" s="108">
        <v>62003980</v>
      </c>
    </row>
    <row r="49" spans="1:21" ht="20.399999999999999" x14ac:dyDescent="0.3">
      <c r="A49" s="139" t="s">
        <v>461</v>
      </c>
      <c r="B49" s="139" t="s">
        <v>50</v>
      </c>
      <c r="C49" s="139"/>
      <c r="D49" s="139"/>
      <c r="E49" s="139"/>
      <c r="F49" s="272">
        <v>154618829.91999999</v>
      </c>
      <c r="G49" s="272">
        <v>307515</v>
      </c>
      <c r="H49" s="272">
        <v>857696252.34000003</v>
      </c>
      <c r="I49" s="272">
        <v>237994.66</v>
      </c>
      <c r="J49" s="272">
        <v>545391396.5</v>
      </c>
      <c r="K49" s="272">
        <v>1363549.56</v>
      </c>
      <c r="L49" s="272">
        <v>4173859.04</v>
      </c>
      <c r="M49" s="272">
        <v>7724.84</v>
      </c>
      <c r="N49" s="276">
        <v>0</v>
      </c>
      <c r="O49" s="276">
        <v>378845.01</v>
      </c>
      <c r="P49" s="272">
        <v>1407261507.8800001</v>
      </c>
      <c r="Q49" s="272">
        <v>1609269.06</v>
      </c>
      <c r="R49" s="274">
        <v>1561880337.8</v>
      </c>
      <c r="S49" s="275">
        <v>1916784.52</v>
      </c>
      <c r="T49" s="108">
        <v>1557706478.76</v>
      </c>
      <c r="U49" s="108">
        <v>700010226.41999996</v>
      </c>
    </row>
    <row r="50" spans="1:21" x14ac:dyDescent="0.3">
      <c r="A50" s="139" t="s">
        <v>461</v>
      </c>
      <c r="B50" s="139" t="s">
        <v>51</v>
      </c>
      <c r="C50" s="139"/>
      <c r="D50" s="139"/>
      <c r="E50" s="139"/>
      <c r="F50" s="272">
        <v>29465562.449999999</v>
      </c>
      <c r="G50" s="272">
        <v>53304</v>
      </c>
      <c r="H50" s="272">
        <v>129619170.63</v>
      </c>
      <c r="I50" s="272">
        <v>11899.97</v>
      </c>
      <c r="J50" s="272">
        <v>92428718.439999998</v>
      </c>
      <c r="K50" s="272">
        <v>216286.48</v>
      </c>
      <c r="L50" s="272">
        <v>2833631.12</v>
      </c>
      <c r="M50" s="272">
        <v>5460.18</v>
      </c>
      <c r="N50" s="276">
        <v>59082613.490000002</v>
      </c>
      <c r="O50" s="276">
        <v>115396.77</v>
      </c>
      <c r="P50" s="272">
        <v>224881520.19</v>
      </c>
      <c r="Q50" s="272">
        <v>233646.63</v>
      </c>
      <c r="R50" s="274">
        <v>254347082.63999999</v>
      </c>
      <c r="S50" s="275">
        <v>286950.95</v>
      </c>
      <c r="T50" s="108">
        <v>251513451.51999998</v>
      </c>
      <c r="U50" s="108">
        <v>121894280.89</v>
      </c>
    </row>
    <row r="51" spans="1:21" ht="20.399999999999999" x14ac:dyDescent="0.3">
      <c r="A51" s="139" t="s">
        <v>461</v>
      </c>
      <c r="B51" s="139" t="s">
        <v>52</v>
      </c>
      <c r="C51" s="139"/>
      <c r="D51" s="139"/>
      <c r="E51" s="139"/>
      <c r="F51" s="272">
        <v>37046147</v>
      </c>
      <c r="G51" s="272">
        <v>64510</v>
      </c>
      <c r="H51" s="272">
        <v>158433073</v>
      </c>
      <c r="I51" s="272">
        <v>49139</v>
      </c>
      <c r="J51" s="272">
        <v>107300095</v>
      </c>
      <c r="K51" s="272">
        <v>270049</v>
      </c>
      <c r="L51" s="272">
        <v>2852029</v>
      </c>
      <c r="M51" s="272">
        <v>5596</v>
      </c>
      <c r="N51" s="276">
        <v>57124368</v>
      </c>
      <c r="O51" s="276">
        <v>145172</v>
      </c>
      <c r="P51" s="272">
        <v>268585197</v>
      </c>
      <c r="Q51" s="272">
        <v>324784</v>
      </c>
      <c r="R51" s="274">
        <v>305631344</v>
      </c>
      <c r="S51" s="275">
        <v>389294</v>
      </c>
      <c r="T51" s="108">
        <v>302779315</v>
      </c>
      <c r="U51" s="108">
        <v>144346242</v>
      </c>
    </row>
    <row r="52" spans="1:21" ht="20.399999999999999" x14ac:dyDescent="0.3">
      <c r="A52" s="139" t="s">
        <v>461</v>
      </c>
      <c r="B52" s="139" t="s">
        <v>53</v>
      </c>
      <c r="C52" s="139"/>
      <c r="D52" s="139"/>
      <c r="E52" s="139"/>
      <c r="F52" s="272">
        <v>64353892</v>
      </c>
      <c r="G52" s="272">
        <v>94101</v>
      </c>
      <c r="H52" s="272">
        <v>709511182</v>
      </c>
      <c r="I52" s="272">
        <v>265875</v>
      </c>
      <c r="J52" s="272">
        <v>261808793</v>
      </c>
      <c r="K52" s="272">
        <v>662546</v>
      </c>
      <c r="L52" s="272">
        <v>6595334</v>
      </c>
      <c r="M52" s="272">
        <v>12747</v>
      </c>
      <c r="N52" s="276">
        <v>83195958</v>
      </c>
      <c r="O52" s="276">
        <v>189436</v>
      </c>
      <c r="P52" s="272">
        <v>977915309</v>
      </c>
      <c r="Q52" s="272">
        <v>941168</v>
      </c>
      <c r="R52" s="274">
        <v>1042269201</v>
      </c>
      <c r="S52" s="275">
        <v>1035269</v>
      </c>
      <c r="T52" s="108">
        <v>1035673867</v>
      </c>
      <c r="U52" s="108">
        <v>326162685</v>
      </c>
    </row>
    <row r="53" spans="1:21" ht="20.399999999999999" x14ac:dyDescent="0.3">
      <c r="A53" s="139" t="s">
        <v>461</v>
      </c>
      <c r="B53" s="139" t="s">
        <v>54</v>
      </c>
      <c r="C53" s="139"/>
      <c r="D53" s="139"/>
      <c r="E53" s="139"/>
      <c r="F53" s="272">
        <v>21411435</v>
      </c>
      <c r="G53" s="272">
        <v>31237</v>
      </c>
      <c r="H53" s="272">
        <v>118508116</v>
      </c>
      <c r="I53" s="272">
        <v>38610.559999999998</v>
      </c>
      <c r="J53" s="272">
        <v>38433687</v>
      </c>
      <c r="K53" s="272">
        <v>150089.26</v>
      </c>
      <c r="L53" s="272">
        <v>0</v>
      </c>
      <c r="M53" s="272">
        <v>0</v>
      </c>
      <c r="N53" s="276">
        <v>3066581.88</v>
      </c>
      <c r="O53" s="276">
        <v>9971.0400000000009</v>
      </c>
      <c r="P53" s="272">
        <v>156941803</v>
      </c>
      <c r="Q53" s="272">
        <v>188699.82</v>
      </c>
      <c r="R53" s="274">
        <v>178353238</v>
      </c>
      <c r="S53" s="275">
        <v>219937.08</v>
      </c>
      <c r="T53" s="108">
        <v>178353238</v>
      </c>
      <c r="U53" s="108">
        <v>59845122</v>
      </c>
    </row>
    <row r="54" spans="1:21" x14ac:dyDescent="0.3">
      <c r="A54" s="139" t="s">
        <v>461</v>
      </c>
      <c r="B54" s="139" t="s">
        <v>56</v>
      </c>
      <c r="C54" s="139"/>
      <c r="D54" s="139"/>
      <c r="E54" s="139"/>
      <c r="F54" s="272">
        <v>55044762.450000003</v>
      </c>
      <c r="G54" s="272">
        <v>81051</v>
      </c>
      <c r="H54" s="272">
        <v>407902888.57999998</v>
      </c>
      <c r="I54" s="272">
        <v>120254.15</v>
      </c>
      <c r="J54" s="272">
        <v>150684548.37</v>
      </c>
      <c r="K54" s="272">
        <v>353400.97</v>
      </c>
      <c r="L54" s="272">
        <v>0</v>
      </c>
      <c r="M54" s="272">
        <v>0</v>
      </c>
      <c r="N54" s="276">
        <v>37839473.020000003</v>
      </c>
      <c r="O54" s="276">
        <v>88926.66</v>
      </c>
      <c r="P54" s="272">
        <v>558587436.95000005</v>
      </c>
      <c r="Q54" s="272">
        <v>473655.12</v>
      </c>
      <c r="R54" s="274">
        <v>613632199.39999998</v>
      </c>
      <c r="S54" s="275">
        <v>554706.93999999994</v>
      </c>
      <c r="T54" s="108">
        <v>613632199.39999998</v>
      </c>
      <c r="U54" s="108">
        <v>205729310.81999999</v>
      </c>
    </row>
    <row r="55" spans="1:21" x14ac:dyDescent="0.3">
      <c r="A55" s="139" t="s">
        <v>461</v>
      </c>
      <c r="B55" s="139" t="s">
        <v>57</v>
      </c>
      <c r="C55" s="139"/>
      <c r="D55" s="139"/>
      <c r="E55" s="139"/>
      <c r="F55" s="272">
        <v>7036171.3700000001</v>
      </c>
      <c r="G55" s="272">
        <v>10043</v>
      </c>
      <c r="H55" s="272">
        <v>44333939</v>
      </c>
      <c r="I55" s="272">
        <v>0</v>
      </c>
      <c r="J55" s="272">
        <v>33242698</v>
      </c>
      <c r="K55" s="272">
        <v>84686</v>
      </c>
      <c r="L55" s="272">
        <v>0</v>
      </c>
      <c r="M55" s="272">
        <v>0</v>
      </c>
      <c r="N55" s="276">
        <v>13146991.67</v>
      </c>
      <c r="O55" s="276">
        <v>25099.09</v>
      </c>
      <c r="P55" s="272">
        <v>77576637</v>
      </c>
      <c r="Q55" s="272">
        <v>84686</v>
      </c>
      <c r="R55" s="274">
        <v>84612808.370000005</v>
      </c>
      <c r="S55" s="275">
        <v>94729.72</v>
      </c>
      <c r="T55" s="108">
        <v>84612808.370000005</v>
      </c>
      <c r="U55" s="108">
        <v>40278869.369999997</v>
      </c>
    </row>
    <row r="56" spans="1:21" ht="20.399999999999999" x14ac:dyDescent="0.3">
      <c r="A56" s="139" t="s">
        <v>461</v>
      </c>
      <c r="B56" s="139" t="s">
        <v>58</v>
      </c>
      <c r="C56" s="139"/>
      <c r="D56" s="139"/>
      <c r="E56" s="139"/>
      <c r="F56" s="272">
        <v>7244139</v>
      </c>
      <c r="G56" s="272">
        <v>10353</v>
      </c>
      <c r="H56" s="272">
        <v>61686603</v>
      </c>
      <c r="I56" s="272">
        <v>7447.4</v>
      </c>
      <c r="J56" s="272">
        <v>30513173</v>
      </c>
      <c r="K56" s="272">
        <v>93359</v>
      </c>
      <c r="L56" s="272">
        <v>0</v>
      </c>
      <c r="M56" s="272">
        <v>0</v>
      </c>
      <c r="N56" s="276">
        <v>919193478</v>
      </c>
      <c r="O56" s="276">
        <v>29177</v>
      </c>
      <c r="P56" s="272">
        <v>92199776</v>
      </c>
      <c r="Q56" s="272">
        <v>100806.39999999999</v>
      </c>
      <c r="R56" s="274">
        <v>99443915</v>
      </c>
      <c r="S56" s="275">
        <v>111160.03</v>
      </c>
      <c r="T56" s="108">
        <v>99443915</v>
      </c>
      <c r="U56" s="108">
        <v>37757312</v>
      </c>
    </row>
    <row r="57" spans="1:21" x14ac:dyDescent="0.3">
      <c r="A57" s="139" t="s">
        <v>461</v>
      </c>
      <c r="B57" s="139" t="s">
        <v>59</v>
      </c>
      <c r="C57" s="139"/>
      <c r="D57" s="139"/>
      <c r="E57" s="139"/>
      <c r="F57" s="272">
        <v>1629299.53</v>
      </c>
      <c r="G57" s="272">
        <v>2406</v>
      </c>
      <c r="H57" s="272">
        <v>53021908.049999997</v>
      </c>
      <c r="I57" s="272">
        <v>8922.0499999999993</v>
      </c>
      <c r="J57" s="272">
        <v>23888320</v>
      </c>
      <c r="K57" s="272">
        <v>56381.62</v>
      </c>
      <c r="L57" s="272">
        <v>0</v>
      </c>
      <c r="M57" s="272">
        <v>0</v>
      </c>
      <c r="N57" s="276">
        <v>0</v>
      </c>
      <c r="O57" s="276">
        <v>0</v>
      </c>
      <c r="P57" s="272">
        <v>76910228.049999997</v>
      </c>
      <c r="Q57" s="272">
        <v>65303.67</v>
      </c>
      <c r="R57" s="274">
        <v>78539527.579999998</v>
      </c>
      <c r="S57" s="275">
        <v>67710.38</v>
      </c>
      <c r="T57" s="108">
        <v>78539527.579999998</v>
      </c>
      <c r="U57" s="108">
        <v>25517619.530000001</v>
      </c>
    </row>
    <row r="58" spans="1:21" ht="20.399999999999999" x14ac:dyDescent="0.3">
      <c r="A58" s="139" t="s">
        <v>461</v>
      </c>
      <c r="B58" s="139" t="s">
        <v>459</v>
      </c>
      <c r="C58" s="139"/>
      <c r="D58" s="139"/>
      <c r="E58" s="139"/>
      <c r="F58" s="272">
        <v>40303882.100000001</v>
      </c>
      <c r="G58" s="272">
        <v>44765</v>
      </c>
      <c r="H58" s="272">
        <v>533552812.39999998</v>
      </c>
      <c r="I58" s="272">
        <v>101404.42</v>
      </c>
      <c r="J58" s="272">
        <v>370299509.75</v>
      </c>
      <c r="K58" s="272">
        <v>1020367.24</v>
      </c>
      <c r="L58" s="272">
        <v>0</v>
      </c>
      <c r="M58" s="272">
        <v>0</v>
      </c>
      <c r="N58" s="276">
        <v>124175830.95</v>
      </c>
      <c r="O58" s="276">
        <v>334200.48</v>
      </c>
      <c r="P58" s="272">
        <v>903852322.14999998</v>
      </c>
      <c r="Q58" s="272">
        <v>1121771.6599999999</v>
      </c>
      <c r="R58" s="274">
        <v>944156204.25</v>
      </c>
      <c r="S58" s="275">
        <v>1166537.1499999999</v>
      </c>
      <c r="T58" s="108">
        <v>944156204.25</v>
      </c>
      <c r="U58" s="108">
        <v>410603391.85000002</v>
      </c>
    </row>
    <row r="59" spans="1:21" x14ac:dyDescent="0.3">
      <c r="A59" s="139" t="s">
        <v>461</v>
      </c>
      <c r="B59" s="139" t="s">
        <v>62</v>
      </c>
      <c r="C59" s="139"/>
      <c r="D59" s="139"/>
      <c r="E59" s="139"/>
      <c r="F59" s="272">
        <v>28542338.949999999</v>
      </c>
      <c r="G59" s="272">
        <v>68719</v>
      </c>
      <c r="H59" s="272">
        <v>78661359.549999997</v>
      </c>
      <c r="I59" s="272">
        <v>90282.53</v>
      </c>
      <c r="J59" s="272">
        <v>63048012.060000002</v>
      </c>
      <c r="K59" s="272">
        <v>105080.38</v>
      </c>
      <c r="L59" s="272">
        <v>0</v>
      </c>
      <c r="M59" s="272">
        <v>0</v>
      </c>
      <c r="N59" s="276">
        <v>34626840.149999999</v>
      </c>
      <c r="O59" s="276">
        <v>94370</v>
      </c>
      <c r="P59" s="272">
        <v>141709371.61000001</v>
      </c>
      <c r="Q59" s="272">
        <v>195362.91</v>
      </c>
      <c r="R59" s="274">
        <v>170251710.56</v>
      </c>
      <c r="S59" s="275">
        <v>264082.49</v>
      </c>
      <c r="T59" s="108">
        <v>170251710.56</v>
      </c>
      <c r="U59" s="108">
        <v>91590351.010000005</v>
      </c>
    </row>
    <row r="60" spans="1:21" ht="20.399999999999999" x14ac:dyDescent="0.3">
      <c r="A60" s="139" t="s">
        <v>461</v>
      </c>
      <c r="B60" s="139" t="s">
        <v>63</v>
      </c>
      <c r="C60" s="139"/>
      <c r="D60" s="139"/>
      <c r="E60" s="139"/>
      <c r="F60" s="272">
        <v>2228304767.3699999</v>
      </c>
      <c r="G60" s="272">
        <v>4439180</v>
      </c>
      <c r="H60" s="272">
        <v>10285544493.120001</v>
      </c>
      <c r="I60" s="272">
        <v>7327811.0199999996</v>
      </c>
      <c r="J60" s="272">
        <v>10439704825.34</v>
      </c>
      <c r="K60" s="272">
        <v>24998000.140000001</v>
      </c>
      <c r="L60" s="272">
        <v>298858277.68000001</v>
      </c>
      <c r="M60" s="272">
        <v>574443.74</v>
      </c>
      <c r="N60" s="276">
        <v>5196986948.9200001</v>
      </c>
      <c r="O60" s="276">
        <v>10790058.699999999</v>
      </c>
      <c r="P60" s="272">
        <v>21024107596.139999</v>
      </c>
      <c r="Q60" s="272">
        <v>32900254.899999999</v>
      </c>
      <c r="R60" s="274">
        <v>23252412363.509998</v>
      </c>
      <c r="S60" s="275">
        <v>37339435.710000001</v>
      </c>
      <c r="T60" s="108">
        <v>22953554085.830002</v>
      </c>
      <c r="U60" s="108">
        <v>12668009592.709999</v>
      </c>
    </row>
    <row r="61" spans="1:21" x14ac:dyDescent="0.3">
      <c r="A61" s="139" t="s">
        <v>461</v>
      </c>
      <c r="B61" s="139" t="s">
        <v>64</v>
      </c>
      <c r="C61" s="139"/>
      <c r="D61" s="139"/>
      <c r="E61" s="139"/>
      <c r="F61" s="272">
        <v>5036790</v>
      </c>
      <c r="G61" s="272">
        <v>8141</v>
      </c>
      <c r="H61" s="272">
        <v>117994661</v>
      </c>
      <c r="I61" s="272">
        <v>1592.64</v>
      </c>
      <c r="J61" s="272">
        <v>13715273</v>
      </c>
      <c r="K61" s="272">
        <v>35121.040000000001</v>
      </c>
      <c r="L61" s="272">
        <v>2734869.57</v>
      </c>
      <c r="M61" s="272">
        <v>5526.12</v>
      </c>
      <c r="N61" s="276">
        <v>0</v>
      </c>
      <c r="O61" s="276">
        <v>0</v>
      </c>
      <c r="P61" s="272">
        <v>134444803.56999999</v>
      </c>
      <c r="Q61" s="272">
        <v>42239.8</v>
      </c>
      <c r="R61" s="274">
        <v>139481593.56999999</v>
      </c>
      <c r="S61" s="275">
        <v>50381.54</v>
      </c>
      <c r="T61" s="108">
        <v>136746724</v>
      </c>
      <c r="U61" s="108">
        <v>18752063</v>
      </c>
    </row>
    <row r="62" spans="1:21" ht="20.399999999999999" x14ac:dyDescent="0.3">
      <c r="A62" s="139" t="s">
        <v>461</v>
      </c>
      <c r="B62" s="139" t="s">
        <v>65</v>
      </c>
      <c r="C62" s="139"/>
      <c r="D62" s="139"/>
      <c r="E62" s="139"/>
      <c r="F62" s="272">
        <v>128453641</v>
      </c>
      <c r="G62" s="272">
        <v>0</v>
      </c>
      <c r="H62" s="272">
        <v>682992733</v>
      </c>
      <c r="I62" s="272">
        <v>254154</v>
      </c>
      <c r="J62" s="272">
        <v>572543595</v>
      </c>
      <c r="K62" s="272">
        <v>1619976</v>
      </c>
      <c r="L62" s="272">
        <v>7939234</v>
      </c>
      <c r="M62" s="272">
        <v>16282</v>
      </c>
      <c r="N62" s="276">
        <v>263651994</v>
      </c>
      <c r="O62" s="276">
        <v>0</v>
      </c>
      <c r="P62" s="272">
        <v>1263475562</v>
      </c>
      <c r="Q62" s="272">
        <v>1890412</v>
      </c>
      <c r="R62" s="274">
        <v>1391929203</v>
      </c>
      <c r="S62" s="275">
        <v>1890412</v>
      </c>
      <c r="T62" s="108">
        <v>1383989969</v>
      </c>
      <c r="U62" s="108">
        <v>700997236</v>
      </c>
    </row>
    <row r="63" spans="1:21" ht="20.399999999999999" x14ac:dyDescent="0.3">
      <c r="A63" s="139" t="s">
        <v>461</v>
      </c>
      <c r="B63" s="139" t="s">
        <v>66</v>
      </c>
      <c r="C63" s="139"/>
      <c r="D63" s="139"/>
      <c r="E63" s="139"/>
      <c r="F63" s="272">
        <v>17294548</v>
      </c>
      <c r="G63" s="272">
        <v>17222</v>
      </c>
      <c r="H63" s="272">
        <v>219666822</v>
      </c>
      <c r="I63" s="272">
        <v>2951</v>
      </c>
      <c r="J63" s="272">
        <v>124917963</v>
      </c>
      <c r="K63" s="272">
        <v>362058</v>
      </c>
      <c r="L63" s="272">
        <v>2757773</v>
      </c>
      <c r="M63" s="272">
        <v>4924</v>
      </c>
      <c r="N63" s="276">
        <v>32842150</v>
      </c>
      <c r="O63" s="276">
        <v>118895</v>
      </c>
      <c r="P63" s="272">
        <v>347342558</v>
      </c>
      <c r="Q63" s="272">
        <v>369933</v>
      </c>
      <c r="R63" s="274">
        <v>364637106</v>
      </c>
      <c r="S63" s="275">
        <v>387155</v>
      </c>
      <c r="T63" s="108">
        <v>361879333</v>
      </c>
      <c r="U63" s="108">
        <v>142212511</v>
      </c>
    </row>
    <row r="64" spans="1:21" ht="20.399999999999999" x14ac:dyDescent="0.3">
      <c r="A64" s="139" t="s">
        <v>461</v>
      </c>
      <c r="B64" s="139" t="s">
        <v>67</v>
      </c>
      <c r="C64" s="139"/>
      <c r="D64" s="139"/>
      <c r="E64" s="139"/>
      <c r="F64" s="272">
        <v>28638744.600000001</v>
      </c>
      <c r="G64" s="272">
        <v>58880</v>
      </c>
      <c r="H64" s="272">
        <v>34669326.780000001</v>
      </c>
      <c r="I64" s="272">
        <v>48.94</v>
      </c>
      <c r="J64" s="272">
        <v>31029744.449999999</v>
      </c>
      <c r="K64" s="272">
        <v>84401.31</v>
      </c>
      <c r="L64" s="272">
        <v>0</v>
      </c>
      <c r="M64" s="272">
        <v>0</v>
      </c>
      <c r="N64" s="276">
        <v>43533655.030000001</v>
      </c>
      <c r="O64" s="276">
        <v>98239.6</v>
      </c>
      <c r="P64" s="272">
        <v>65699071.229999997</v>
      </c>
      <c r="Q64" s="272">
        <v>84450.25</v>
      </c>
      <c r="R64" s="274">
        <v>94337815.829999998</v>
      </c>
      <c r="S64" s="275">
        <v>143331.23000000001</v>
      </c>
      <c r="T64" s="108">
        <v>94337815.829999998</v>
      </c>
      <c r="U64" s="108">
        <v>59668489.049999997</v>
      </c>
    </row>
    <row r="65" spans="1:21" x14ac:dyDescent="0.3">
      <c r="A65" s="139" t="s">
        <v>461</v>
      </c>
      <c r="B65" s="139" t="s">
        <v>68</v>
      </c>
      <c r="C65" s="139"/>
      <c r="D65" s="139"/>
      <c r="E65" s="139"/>
      <c r="F65" s="272">
        <v>84128710</v>
      </c>
      <c r="G65" s="272">
        <v>145219</v>
      </c>
      <c r="H65" s="272">
        <v>245123109</v>
      </c>
      <c r="I65" s="272">
        <v>14955</v>
      </c>
      <c r="J65" s="272">
        <v>105985900</v>
      </c>
      <c r="K65" s="272">
        <v>268099</v>
      </c>
      <c r="L65" s="272">
        <v>1921209</v>
      </c>
      <c r="M65" s="272">
        <v>4601</v>
      </c>
      <c r="N65" s="276">
        <v>86104847</v>
      </c>
      <c r="O65" s="276">
        <v>198081</v>
      </c>
      <c r="P65" s="272">
        <v>353030218</v>
      </c>
      <c r="Q65" s="272">
        <v>287655</v>
      </c>
      <c r="R65" s="274">
        <v>437158928</v>
      </c>
      <c r="S65" s="275">
        <v>432874</v>
      </c>
      <c r="T65" s="108">
        <v>435237719</v>
      </c>
      <c r="U65" s="108">
        <v>190114610</v>
      </c>
    </row>
  </sheetData>
  <sheetProtection algorithmName="SHA-512" hashValue="zmIszyb3BAvkir//lhBjQcjj36WIr5FZoFb3moMrNsckVv6b/mUBbl/UM/VKsRCArzHtrQ6LxKRGuYgsGNDGYQ==" saltValue="GRpVmctnmlsq5bulXdI71g==" spinCount="100000" sheet="1" objects="1" scenarios="1"/>
  <mergeCells count="2">
    <mergeCell ref="A1:H1"/>
    <mergeCell ref="A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8D318-3CFC-491A-B3A4-21CC150083CE}">
  <sheetPr codeName="Sheet18"/>
  <dimension ref="A1:U5"/>
  <sheetViews>
    <sheetView topLeftCell="F4" workbookViewId="0">
      <selection activeCell="T5" sqref="T5:U5"/>
    </sheetView>
  </sheetViews>
  <sheetFormatPr defaultColWidth="9.109375" defaultRowHeight="14.4" x14ac:dyDescent="0.3"/>
  <cols>
    <col min="1" max="1" width="9" customWidth="1"/>
    <col min="2" max="5" width="18.88671875" customWidth="1"/>
    <col min="6" max="6" width="26.33203125" customWidth="1"/>
    <col min="7" max="7" width="25.44140625" customWidth="1"/>
    <col min="8" max="8" width="17.88671875" customWidth="1"/>
    <col min="9" max="9" width="17" customWidth="1"/>
    <col min="10" max="10" width="20.6640625" customWidth="1"/>
    <col min="11" max="11" width="19.88671875" customWidth="1"/>
    <col min="12" max="12" width="15" customWidth="1"/>
    <col min="13" max="13" width="14.44140625" customWidth="1"/>
    <col min="14" max="14" width="21.44140625" customWidth="1"/>
    <col min="15" max="15" width="20.5546875" customWidth="1"/>
    <col min="16" max="16" width="22.109375" customWidth="1"/>
    <col min="17" max="17" width="21.33203125" customWidth="1"/>
    <col min="18" max="18" width="18.5546875" customWidth="1"/>
    <col min="19" max="19" width="17.5546875" customWidth="1"/>
    <col min="20" max="20" width="32" customWidth="1"/>
    <col min="21" max="21" width="31" customWidth="1"/>
  </cols>
  <sheetData>
    <row r="1" spans="1:21" x14ac:dyDescent="0.3">
      <c r="A1" s="387" t="s">
        <v>454</v>
      </c>
      <c r="B1" s="387"/>
      <c r="C1" s="387"/>
      <c r="D1" s="387"/>
      <c r="E1" s="387"/>
      <c r="F1" s="387"/>
      <c r="G1" s="387"/>
      <c r="H1" s="387"/>
    </row>
    <row r="2" spans="1:21" x14ac:dyDescent="0.3">
      <c r="A2" s="384" t="s">
        <v>460</v>
      </c>
      <c r="B2" s="384"/>
      <c r="C2" s="384"/>
      <c r="D2" s="384"/>
      <c r="E2" s="384"/>
      <c r="F2" s="384"/>
      <c r="G2" s="384"/>
      <c r="H2" s="384"/>
    </row>
    <row r="3" spans="1:21" x14ac:dyDescent="0.3">
      <c r="A3" s="107" t="s">
        <v>450</v>
      </c>
      <c r="T3" t="s">
        <v>428</v>
      </c>
      <c r="U3" t="s">
        <v>429</v>
      </c>
    </row>
    <row r="4" spans="1:21" x14ac:dyDescent="0.3">
      <c r="A4" s="271" t="s">
        <v>430</v>
      </c>
      <c r="B4" s="271" t="s">
        <v>431</v>
      </c>
      <c r="C4" s="271"/>
      <c r="D4" s="271"/>
      <c r="E4" s="271"/>
      <c r="F4" s="271" t="s">
        <v>432</v>
      </c>
      <c r="G4" s="271" t="s">
        <v>433</v>
      </c>
      <c r="H4" s="271" t="s">
        <v>434</v>
      </c>
      <c r="I4" s="271" t="s">
        <v>435</v>
      </c>
      <c r="J4" s="271" t="s">
        <v>436</v>
      </c>
      <c r="K4" s="271" t="s">
        <v>437</v>
      </c>
      <c r="L4" s="271" t="s">
        <v>438</v>
      </c>
      <c r="M4" s="271" t="s">
        <v>439</v>
      </c>
      <c r="N4" s="271" t="s">
        <v>440</v>
      </c>
      <c r="O4" s="271" t="s">
        <v>441</v>
      </c>
      <c r="P4" s="271" t="s">
        <v>442</v>
      </c>
      <c r="Q4" s="271" t="s">
        <v>443</v>
      </c>
      <c r="R4" s="271" t="s">
        <v>444</v>
      </c>
      <c r="S4" s="169" t="s">
        <v>445</v>
      </c>
      <c r="T4" s="169" t="s">
        <v>446</v>
      </c>
      <c r="U4" s="169" t="s">
        <v>81</v>
      </c>
    </row>
    <row r="5" spans="1:21" ht="20.399999999999999" x14ac:dyDescent="0.3">
      <c r="A5" s="139" t="s">
        <v>461</v>
      </c>
      <c r="B5" s="139" t="s">
        <v>0</v>
      </c>
      <c r="C5" s="139"/>
      <c r="D5" s="139"/>
      <c r="E5" s="139"/>
      <c r="F5" s="283">
        <v>48174787</v>
      </c>
      <c r="G5" s="283">
        <v>80723</v>
      </c>
      <c r="H5" s="284">
        <v>458537750</v>
      </c>
      <c r="I5" s="283">
        <v>69902</v>
      </c>
      <c r="J5" s="284">
        <v>429921911</v>
      </c>
      <c r="K5" s="283">
        <v>970264</v>
      </c>
      <c r="L5" s="284">
        <v>4238817</v>
      </c>
      <c r="M5" s="283">
        <v>9041</v>
      </c>
      <c r="N5" s="284">
        <v>277190567</v>
      </c>
      <c r="O5" s="284">
        <v>529804</v>
      </c>
      <c r="P5" s="284">
        <v>892698477</v>
      </c>
      <c r="Q5" s="283">
        <v>1049207</v>
      </c>
      <c r="R5" s="285">
        <v>913796080</v>
      </c>
      <c r="S5" s="286">
        <v>1129930</v>
      </c>
      <c r="T5" s="267">
        <v>935004221</v>
      </c>
      <c r="U5" s="267">
        <v>476466471</v>
      </c>
    </row>
  </sheetData>
  <sheetProtection algorithmName="SHA-512" hashValue="6HcEfvE23NOYNLCzMZ0D2VuBHkAhER7NKYx7xaKw6MHZmLKtTukZvP1sS3sXaza8FAFe/akH3Co84y9HebTFnQ==" saltValue="m5ajN9faKlq3nvGIhsy8yA==" spinCount="100000" sheet="1" objects="1" scenarios="1"/>
  <mergeCells count="2">
    <mergeCell ref="A1:H1"/>
    <mergeCell ref="A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66"/>
  <sheetViews>
    <sheetView workbookViewId="0">
      <selection sqref="A1:H1"/>
    </sheetView>
  </sheetViews>
  <sheetFormatPr defaultRowHeight="14.4" x14ac:dyDescent="0.3"/>
  <cols>
    <col min="1" max="1" width="42.5546875" bestFit="1" customWidth="1"/>
    <col min="2" max="2" width="11" bestFit="1" customWidth="1"/>
  </cols>
  <sheetData>
    <row r="1" spans="1:1" x14ac:dyDescent="0.3">
      <c r="A1" s="139" t="s">
        <v>6</v>
      </c>
    </row>
    <row r="2" spans="1:1" x14ac:dyDescent="0.3">
      <c r="A2" s="139" t="s">
        <v>7</v>
      </c>
    </row>
    <row r="3" spans="1:1" x14ac:dyDescent="0.3">
      <c r="A3" s="139" t="s">
        <v>8</v>
      </c>
    </row>
    <row r="4" spans="1:1" x14ac:dyDescent="0.3">
      <c r="A4" s="139" t="s">
        <v>9</v>
      </c>
    </row>
    <row r="5" spans="1:1" x14ac:dyDescent="0.3">
      <c r="A5" s="139" t="s">
        <v>10</v>
      </c>
    </row>
    <row r="6" spans="1:1" x14ac:dyDescent="0.3">
      <c r="A6" s="139" t="s">
        <v>11</v>
      </c>
    </row>
    <row r="7" spans="1:1" x14ac:dyDescent="0.3">
      <c r="A7" s="139" t="s">
        <v>12</v>
      </c>
    </row>
    <row r="8" spans="1:1" x14ac:dyDescent="0.3">
      <c r="A8" s="139" t="s">
        <v>13</v>
      </c>
    </row>
    <row r="9" spans="1:1" x14ac:dyDescent="0.3">
      <c r="A9" s="139" t="s">
        <v>14</v>
      </c>
    </row>
    <row r="10" spans="1:1" x14ac:dyDescent="0.3">
      <c r="A10" s="139" t="s">
        <v>15</v>
      </c>
    </row>
    <row r="11" spans="1:1" x14ac:dyDescent="0.3">
      <c r="A11" s="139" t="s">
        <v>16</v>
      </c>
    </row>
    <row r="12" spans="1:1" x14ac:dyDescent="0.3">
      <c r="A12" s="139" t="s">
        <v>17</v>
      </c>
    </row>
    <row r="13" spans="1:1" x14ac:dyDescent="0.3">
      <c r="A13" s="139" t="s">
        <v>18</v>
      </c>
    </row>
    <row r="14" spans="1:1" x14ac:dyDescent="0.3">
      <c r="A14" s="139" t="s">
        <v>19</v>
      </c>
    </row>
    <row r="15" spans="1:1" x14ac:dyDescent="0.3">
      <c r="A15" s="139" t="s">
        <v>20</v>
      </c>
    </row>
    <row r="16" spans="1:1" x14ac:dyDescent="0.3">
      <c r="A16" s="139" t="s">
        <v>21</v>
      </c>
    </row>
    <row r="17" spans="1:1" x14ac:dyDescent="0.3">
      <c r="A17" s="139" t="s">
        <v>22</v>
      </c>
    </row>
    <row r="18" spans="1:1" x14ac:dyDescent="0.3">
      <c r="A18" s="139" t="s">
        <v>23</v>
      </c>
    </row>
    <row r="19" spans="1:1" x14ac:dyDescent="0.3">
      <c r="A19" s="139" t="s">
        <v>24</v>
      </c>
    </row>
    <row r="20" spans="1:1" x14ac:dyDescent="0.3">
      <c r="A20" s="139" t="s">
        <v>25</v>
      </c>
    </row>
    <row r="21" spans="1:1" x14ac:dyDescent="0.3">
      <c r="A21" s="139" t="s">
        <v>26</v>
      </c>
    </row>
    <row r="22" spans="1:1" x14ac:dyDescent="0.3">
      <c r="A22" s="139" t="s">
        <v>27</v>
      </c>
    </row>
    <row r="23" spans="1:1" x14ac:dyDescent="0.3">
      <c r="A23" s="139" t="s">
        <v>28</v>
      </c>
    </row>
    <row r="24" spans="1:1" x14ac:dyDescent="0.3">
      <c r="A24" s="139" t="s">
        <v>29</v>
      </c>
    </row>
    <row r="25" spans="1:1" x14ac:dyDescent="0.3">
      <c r="A25" s="139" t="s">
        <v>30</v>
      </c>
    </row>
    <row r="26" spans="1:1" x14ac:dyDescent="0.3">
      <c r="A26" s="139" t="s">
        <v>31</v>
      </c>
    </row>
    <row r="27" spans="1:1" x14ac:dyDescent="0.3">
      <c r="A27" s="139" t="s">
        <v>32</v>
      </c>
    </row>
    <row r="28" spans="1:1" x14ac:dyDescent="0.3">
      <c r="A28" s="139" t="s">
        <v>33</v>
      </c>
    </row>
    <row r="29" spans="1:1" x14ac:dyDescent="0.3">
      <c r="A29" s="139" t="s">
        <v>34</v>
      </c>
    </row>
    <row r="30" spans="1:1" x14ac:dyDescent="0.3">
      <c r="A30" s="139" t="s">
        <v>35</v>
      </c>
    </row>
    <row r="31" spans="1:1" x14ac:dyDescent="0.3">
      <c r="A31" s="139" t="s">
        <v>36</v>
      </c>
    </row>
    <row r="32" spans="1:1" x14ac:dyDescent="0.3">
      <c r="A32" s="139" t="s">
        <v>37</v>
      </c>
    </row>
    <row r="33" spans="1:1" x14ac:dyDescent="0.3">
      <c r="A33" s="139" t="s">
        <v>38</v>
      </c>
    </row>
    <row r="34" spans="1:1" x14ac:dyDescent="0.3">
      <c r="A34" s="139" t="s">
        <v>39</v>
      </c>
    </row>
    <row r="35" spans="1:1" x14ac:dyDescent="0.3">
      <c r="A35" s="139" t="s">
        <v>40</v>
      </c>
    </row>
    <row r="36" spans="1:1" x14ac:dyDescent="0.3">
      <c r="A36" s="139" t="s">
        <v>41</v>
      </c>
    </row>
    <row r="37" spans="1:1" x14ac:dyDescent="0.3">
      <c r="A37" s="139" t="s">
        <v>42</v>
      </c>
    </row>
    <row r="38" spans="1:1" x14ac:dyDescent="0.3">
      <c r="A38" s="139" t="s">
        <v>43</v>
      </c>
    </row>
    <row r="39" spans="1:1" x14ac:dyDescent="0.3">
      <c r="A39" s="139" t="s">
        <v>44</v>
      </c>
    </row>
    <row r="40" spans="1:1" x14ac:dyDescent="0.3">
      <c r="A40" s="139" t="s">
        <v>0</v>
      </c>
    </row>
    <row r="41" spans="1:1" x14ac:dyDescent="0.3">
      <c r="A41" s="139" t="s">
        <v>45</v>
      </c>
    </row>
    <row r="42" spans="1:1" x14ac:dyDescent="0.3">
      <c r="A42" s="139" t="s">
        <v>46</v>
      </c>
    </row>
    <row r="43" spans="1:1" x14ac:dyDescent="0.3">
      <c r="A43" s="139" t="s">
        <v>47</v>
      </c>
    </row>
    <row r="44" spans="1:1" x14ac:dyDescent="0.3">
      <c r="A44" s="139" t="s">
        <v>48</v>
      </c>
    </row>
    <row r="45" spans="1:1" x14ac:dyDescent="0.3">
      <c r="A45" s="139" t="s">
        <v>49</v>
      </c>
    </row>
    <row r="46" spans="1:1" x14ac:dyDescent="0.3">
      <c r="A46" s="139" t="s">
        <v>50</v>
      </c>
    </row>
    <row r="47" spans="1:1" x14ac:dyDescent="0.3">
      <c r="A47" s="139" t="s">
        <v>51</v>
      </c>
    </row>
    <row r="48" spans="1:1" x14ac:dyDescent="0.3">
      <c r="A48" s="139" t="s">
        <v>52</v>
      </c>
    </row>
    <row r="49" spans="1:1" x14ac:dyDescent="0.3">
      <c r="A49" s="139" t="s">
        <v>53</v>
      </c>
    </row>
    <row r="50" spans="1:1" x14ac:dyDescent="0.3">
      <c r="A50" s="139" t="s">
        <v>54</v>
      </c>
    </row>
    <row r="51" spans="1:1" x14ac:dyDescent="0.3">
      <c r="A51" s="139" t="s">
        <v>55</v>
      </c>
    </row>
    <row r="52" spans="1:1" x14ac:dyDescent="0.3">
      <c r="A52" s="139" t="s">
        <v>56</v>
      </c>
    </row>
    <row r="53" spans="1:1" x14ac:dyDescent="0.3">
      <c r="A53" s="139" t="s">
        <v>57</v>
      </c>
    </row>
    <row r="54" spans="1:1" x14ac:dyDescent="0.3">
      <c r="A54" s="139" t="s">
        <v>58</v>
      </c>
    </row>
    <row r="55" spans="1:1" x14ac:dyDescent="0.3">
      <c r="A55" s="139" t="s">
        <v>59</v>
      </c>
    </row>
    <row r="56" spans="1:1" x14ac:dyDescent="0.3">
      <c r="A56" s="139" t="s">
        <v>60</v>
      </c>
    </row>
    <row r="57" spans="1:1" x14ac:dyDescent="0.3">
      <c r="A57" s="139" t="s">
        <v>61</v>
      </c>
    </row>
    <row r="58" spans="1:1" x14ac:dyDescent="0.3">
      <c r="A58" s="139" t="s">
        <v>62</v>
      </c>
    </row>
    <row r="59" spans="1:1" x14ac:dyDescent="0.3">
      <c r="A59" s="139" t="s">
        <v>63</v>
      </c>
    </row>
    <row r="60" spans="1:1" x14ac:dyDescent="0.3">
      <c r="A60" s="139" t="s">
        <v>64</v>
      </c>
    </row>
    <row r="61" spans="1:1" x14ac:dyDescent="0.3">
      <c r="A61" s="139" t="s">
        <v>65</v>
      </c>
    </row>
    <row r="62" spans="1:1" x14ac:dyDescent="0.3">
      <c r="A62" s="139" t="s">
        <v>66</v>
      </c>
    </row>
    <row r="63" spans="1:1" x14ac:dyDescent="0.3">
      <c r="A63" s="139" t="s">
        <v>67</v>
      </c>
    </row>
    <row r="64" spans="1:1" x14ac:dyDescent="0.3">
      <c r="A64" s="139" t="s">
        <v>68</v>
      </c>
    </row>
    <row r="65" spans="1:1" x14ac:dyDescent="0.3">
      <c r="A65" s="139"/>
    </row>
    <row r="66" spans="1:1" x14ac:dyDescent="0.3">
      <c r="A66" s="139"/>
    </row>
  </sheetData>
  <sheetProtection algorithmName="SHA-512" hashValue="8esogAZDNWDf32Q/204CTUDzKN8uBT63QlOBdFZ33NJOBmNSmTJZ+6vOGdtZTNeNGUbRijTnbIQlr7tKF5F87g==" saltValue="h7kpW4RqYDBTMjQL6Ya8Hw==" spinCount="100000" sheet="1" objects="1" scenarios="1"/>
  <sortState xmlns:xlrd2="http://schemas.microsoft.com/office/spreadsheetml/2017/richdata2" ref="A1:A66">
    <sortCondition ref="A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2:X103"/>
  <sheetViews>
    <sheetView zoomScaleNormal="100" zoomScaleSheetLayoutView="100" workbookViewId="0">
      <selection activeCell="B27" sqref="B27:H27"/>
    </sheetView>
  </sheetViews>
  <sheetFormatPr defaultColWidth="9" defaultRowHeight="13.8" x14ac:dyDescent="0.25"/>
  <cols>
    <col min="1" max="1" width="10.33203125" style="1" customWidth="1"/>
    <col min="2" max="2" width="53.88671875" style="1" customWidth="1"/>
    <col min="3" max="3" width="28" style="1" customWidth="1"/>
    <col min="4" max="4" width="23" style="1" customWidth="1"/>
    <col min="5" max="5" width="19" style="1" customWidth="1"/>
    <col min="6" max="6" width="24.33203125" style="1" customWidth="1"/>
    <col min="7" max="7" width="15.88671875" style="1" customWidth="1"/>
    <col min="8" max="8" width="18" style="1" customWidth="1"/>
    <col min="9" max="9" width="17.5546875" style="1" customWidth="1"/>
    <col min="10" max="10" width="17.33203125" style="1" customWidth="1"/>
    <col min="11" max="11" width="18" style="1" customWidth="1"/>
    <col min="12" max="12" width="10.5546875" style="1" customWidth="1"/>
    <col min="13" max="13" width="10.33203125" style="1" customWidth="1"/>
    <col min="14" max="14" width="11.88671875" style="1" customWidth="1"/>
    <col min="15" max="15" width="10.5546875" style="1" customWidth="1"/>
    <col min="16" max="16" width="10.33203125" style="1" customWidth="1"/>
    <col min="17" max="18" width="10.5546875" style="1" customWidth="1"/>
    <col min="19" max="19" width="11" style="1" customWidth="1"/>
    <col min="20" max="20" width="13" style="1" customWidth="1"/>
    <col min="21" max="21" width="10.88671875" style="1" customWidth="1"/>
    <col min="22" max="22" width="11.33203125" style="1" customWidth="1"/>
    <col min="23" max="16384" width="9" style="1"/>
  </cols>
  <sheetData>
    <row r="12" spans="1:24" x14ac:dyDescent="0.25">
      <c r="A12" s="37" t="s">
        <v>69</v>
      </c>
      <c r="B12" s="4"/>
      <c r="C12" s="37"/>
    </row>
    <row r="13" spans="1:24" x14ac:dyDescent="0.25">
      <c r="A13" s="4"/>
      <c r="B13" s="4"/>
      <c r="C13" s="4"/>
    </row>
    <row r="14" spans="1:24" x14ac:dyDescent="0.25">
      <c r="A14" s="4"/>
      <c r="B14" s="4" t="s">
        <v>70</v>
      </c>
      <c r="C14" s="23"/>
      <c r="D14" s="4"/>
      <c r="E14" s="4"/>
      <c r="F14" s="4"/>
      <c r="X14" s="1">
        <v>2014</v>
      </c>
    </row>
    <row r="15" spans="1:24" x14ac:dyDescent="0.25">
      <c r="A15" s="4"/>
      <c r="B15" s="4" t="s">
        <v>71</v>
      </c>
      <c r="C15" s="45"/>
      <c r="D15" s="4"/>
      <c r="E15" s="4"/>
      <c r="F15" s="4"/>
    </row>
    <row r="16" spans="1:24" x14ac:dyDescent="0.25">
      <c r="A16" s="4"/>
      <c r="B16" s="14"/>
      <c r="C16" s="14"/>
      <c r="D16" s="4"/>
      <c r="E16" s="4"/>
      <c r="F16" s="4"/>
      <c r="X16" s="1">
        <v>2015</v>
      </c>
    </row>
    <row r="17" spans="1:24" x14ac:dyDescent="0.25">
      <c r="A17" s="4" t="s">
        <v>72</v>
      </c>
      <c r="B17" s="14" t="s">
        <v>73</v>
      </c>
      <c r="C17" s="24"/>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74</v>
      </c>
      <c r="B20" s="22" t="s">
        <v>75</v>
      </c>
      <c r="C20" s="21"/>
      <c r="D20" s="21"/>
      <c r="E20" s="21"/>
      <c r="F20" s="21"/>
      <c r="I20" s="4"/>
      <c r="J20" s="4"/>
      <c r="K20" s="4"/>
      <c r="L20" s="4"/>
      <c r="M20" s="4"/>
      <c r="N20" s="4"/>
      <c r="O20" s="4"/>
      <c r="P20" s="4"/>
      <c r="Q20" s="4"/>
      <c r="R20" s="4"/>
      <c r="S20" s="4"/>
    </row>
    <row r="21" spans="1:24" x14ac:dyDescent="0.25">
      <c r="A21" s="4"/>
      <c r="B21" s="302" t="s">
        <v>4</v>
      </c>
      <c r="C21" s="302"/>
      <c r="D21" s="24"/>
      <c r="E21" s="303"/>
      <c r="F21" s="304"/>
      <c r="G21" s="4"/>
      <c r="H21" s="4"/>
      <c r="I21" s="4"/>
      <c r="J21" s="4"/>
      <c r="K21" s="4"/>
      <c r="L21" s="4"/>
      <c r="M21" s="4"/>
      <c r="N21" s="4"/>
      <c r="O21" s="4"/>
      <c r="P21" s="4"/>
      <c r="Q21" s="4"/>
    </row>
    <row r="22" spans="1:24" ht="14.4" thickBot="1" x14ac:dyDescent="0.3">
      <c r="A22" s="4"/>
      <c r="B22" s="5" t="s">
        <v>76</v>
      </c>
      <c r="C22" s="5" t="s">
        <v>77</v>
      </c>
      <c r="D22" s="93">
        <f>D23+D24</f>
        <v>0</v>
      </c>
      <c r="E22" s="6" t="s">
        <v>78</v>
      </c>
      <c r="F22" s="7">
        <v>1</v>
      </c>
      <c r="G22" s="4"/>
      <c r="H22" s="4"/>
      <c r="I22" s="4"/>
      <c r="J22" s="4"/>
      <c r="K22" s="4"/>
      <c r="L22" s="4"/>
      <c r="M22" s="4"/>
      <c r="N22" s="4"/>
      <c r="O22" s="4"/>
      <c r="P22" s="4"/>
      <c r="Q22" s="4"/>
    </row>
    <row r="23" spans="1:24" x14ac:dyDescent="0.25">
      <c r="B23" s="5" t="s">
        <v>79</v>
      </c>
      <c r="C23" s="5" t="s">
        <v>80</v>
      </c>
      <c r="D23" s="94"/>
      <c r="E23" s="6" t="s">
        <v>78</v>
      </c>
      <c r="F23" s="8">
        <f>IFERROR(D23/$D$22,0)</f>
        <v>0</v>
      </c>
    </row>
    <row r="24" spans="1:24" ht="14.4" thickBot="1" x14ac:dyDescent="0.3">
      <c r="B24" s="5" t="s">
        <v>81</v>
      </c>
      <c r="C24" s="5" t="s">
        <v>82</v>
      </c>
      <c r="D24" s="93">
        <f>D25+D26</f>
        <v>0</v>
      </c>
      <c r="E24" s="6" t="s">
        <v>78</v>
      </c>
      <c r="F24" s="8">
        <f>IFERROR(D24/$D$22,0)</f>
        <v>0</v>
      </c>
    </row>
    <row r="25" spans="1:24" x14ac:dyDescent="0.25">
      <c r="B25" s="5" t="s">
        <v>83</v>
      </c>
      <c r="C25" s="5" t="s">
        <v>84</v>
      </c>
      <c r="D25" s="94"/>
      <c r="E25" s="6" t="s">
        <v>78</v>
      </c>
      <c r="F25" s="8">
        <f>IFERROR(D25/$D$22,0)</f>
        <v>0</v>
      </c>
    </row>
    <row r="26" spans="1:24" x14ac:dyDescent="0.25">
      <c r="B26" s="5" t="s">
        <v>85</v>
      </c>
      <c r="C26" s="5" t="s">
        <v>86</v>
      </c>
      <c r="D26" s="95"/>
      <c r="E26" s="6" t="s">
        <v>78</v>
      </c>
      <c r="F26" s="8">
        <f>IFERROR(D26/$D$22,0)</f>
        <v>0</v>
      </c>
    </row>
    <row r="27" spans="1:24" ht="34.5" customHeight="1" x14ac:dyDescent="0.25">
      <c r="B27" s="305" t="s">
        <v>87</v>
      </c>
      <c r="C27" s="305"/>
      <c r="D27" s="305"/>
      <c r="E27" s="305"/>
      <c r="F27" s="305"/>
      <c r="G27" s="306"/>
      <c r="H27" s="306"/>
    </row>
    <row r="28" spans="1:24" x14ac:dyDescent="0.25">
      <c r="D28" s="96"/>
    </row>
    <row r="29" spans="1:24" x14ac:dyDescent="0.25">
      <c r="A29" s="1" t="s">
        <v>88</v>
      </c>
      <c r="B29" s="3" t="s">
        <v>89</v>
      </c>
    </row>
    <row r="30" spans="1:24" x14ac:dyDescent="0.25">
      <c r="B30" s="3"/>
    </row>
    <row r="31" spans="1:24" x14ac:dyDescent="0.25">
      <c r="B31" s="2" t="s">
        <v>90</v>
      </c>
      <c r="C31" s="42"/>
      <c r="E31" s="4"/>
    </row>
    <row r="32" spans="1:24" x14ac:dyDescent="0.25">
      <c r="E32" s="4"/>
    </row>
    <row r="33" spans="1:23" x14ac:dyDescent="0.25">
      <c r="B33" s="2" t="s">
        <v>91</v>
      </c>
    </row>
    <row r="34" spans="1:23" ht="15" customHeight="1" x14ac:dyDescent="0.25">
      <c r="B34" s="9"/>
      <c r="C34" s="9"/>
      <c r="D34" s="9"/>
      <c r="E34" s="9"/>
      <c r="F34" s="9"/>
      <c r="G34" s="9"/>
      <c r="H34" s="9"/>
    </row>
    <row r="35" spans="1:23" ht="15" customHeight="1" x14ac:dyDescent="0.25">
      <c r="B35" s="9"/>
      <c r="C35" s="9"/>
      <c r="D35" s="9"/>
      <c r="E35" s="9"/>
      <c r="F35" s="9"/>
      <c r="G35" s="9"/>
      <c r="H35" s="9"/>
    </row>
    <row r="36" spans="1:23" ht="15" customHeight="1" x14ac:dyDescent="0.25">
      <c r="B36" s="9"/>
      <c r="C36" s="9"/>
      <c r="D36" s="9"/>
      <c r="E36" s="9"/>
      <c r="F36" s="9"/>
      <c r="G36" s="9"/>
      <c r="H36" s="9"/>
    </row>
    <row r="37" spans="1:23" ht="15" customHeight="1" x14ac:dyDescent="0.25">
      <c r="B37" s="9"/>
      <c r="C37" s="9"/>
      <c r="D37" s="9"/>
      <c r="E37" s="9"/>
      <c r="F37" s="9"/>
      <c r="G37" s="9"/>
      <c r="H37" s="9"/>
    </row>
    <row r="38" spans="1:23" ht="14.25" customHeight="1" x14ac:dyDescent="0.25">
      <c r="B38" s="9"/>
      <c r="C38" s="9"/>
      <c r="D38" s="9"/>
      <c r="E38" s="9"/>
      <c r="F38" s="9"/>
      <c r="G38" s="9"/>
      <c r="H38" s="9"/>
    </row>
    <row r="39" spans="1:23" ht="14.25" customHeight="1" x14ac:dyDescent="0.25">
      <c r="B39" s="9"/>
      <c r="C39" s="9"/>
      <c r="D39" s="9"/>
      <c r="E39" s="9"/>
      <c r="F39" s="9"/>
      <c r="G39" s="9"/>
      <c r="H39" s="9"/>
    </row>
    <row r="40" spans="1:23" ht="14.25" customHeight="1" x14ac:dyDescent="0.25">
      <c r="B40" s="9"/>
      <c r="C40" s="9"/>
      <c r="D40" s="9"/>
      <c r="E40" s="9"/>
      <c r="F40" s="9"/>
      <c r="G40" s="9"/>
      <c r="H40" s="9"/>
    </row>
    <row r="41" spans="1:23" ht="14.25" customHeight="1" x14ac:dyDescent="0.25">
      <c r="B41" s="9"/>
      <c r="C41" s="9"/>
      <c r="D41" s="9"/>
      <c r="E41" s="9"/>
      <c r="F41" s="9"/>
      <c r="G41" s="9"/>
      <c r="H41" s="9"/>
    </row>
    <row r="43" spans="1:23" x14ac:dyDescent="0.25">
      <c r="A43" s="1" t="s">
        <v>92</v>
      </c>
      <c r="B43" s="37" t="s">
        <v>93</v>
      </c>
      <c r="C43" s="3"/>
    </row>
    <row r="44" spans="1:23" ht="14.4" thickBot="1" x14ac:dyDescent="0.3">
      <c r="B44" s="2" t="s">
        <v>4</v>
      </c>
      <c r="C44" s="73"/>
      <c r="D44" s="4"/>
      <c r="E44" s="4"/>
      <c r="F44" s="68"/>
      <c r="G44" s="2"/>
      <c r="H44" s="2"/>
      <c r="I44" s="2"/>
      <c r="J44" s="2"/>
      <c r="K44" s="2"/>
      <c r="N44" s="3" t="s">
        <v>94</v>
      </c>
    </row>
    <row r="45" spans="1:23" s="9" customFormat="1" ht="80.25" customHeight="1" thickBot="1" x14ac:dyDescent="0.3">
      <c r="B45" s="40" t="s">
        <v>95</v>
      </c>
      <c r="C45" s="52" t="s">
        <v>96</v>
      </c>
      <c r="D45" s="69" t="s">
        <v>97</v>
      </c>
      <c r="E45" s="70" t="s">
        <v>98</v>
      </c>
      <c r="F45" s="57" t="s">
        <v>99</v>
      </c>
      <c r="G45" s="26" t="s">
        <v>100</v>
      </c>
      <c r="H45" s="26" t="s">
        <v>101</v>
      </c>
      <c r="I45" s="26" t="s">
        <v>102</v>
      </c>
      <c r="J45" s="26" t="s">
        <v>103</v>
      </c>
      <c r="K45" s="58" t="s">
        <v>104</v>
      </c>
      <c r="N45" s="11"/>
      <c r="O45" s="297">
        <v>2017</v>
      </c>
      <c r="P45" s="297"/>
      <c r="Q45" s="297"/>
      <c r="R45" s="297">
        <v>2016</v>
      </c>
      <c r="S45" s="297"/>
      <c r="T45" s="297"/>
      <c r="U45" s="297">
        <v>2015</v>
      </c>
      <c r="V45" s="297"/>
      <c r="W45" s="297"/>
    </row>
    <row r="46" spans="1:23" s="9" customFormat="1" ht="27.6" x14ac:dyDescent="0.25">
      <c r="B46" s="12"/>
      <c r="C46" s="53" t="s">
        <v>105</v>
      </c>
      <c r="D46" s="53" t="s">
        <v>106</v>
      </c>
      <c r="E46" s="54" t="s">
        <v>107</v>
      </c>
      <c r="F46" s="54" t="s">
        <v>108</v>
      </c>
      <c r="G46" s="54" t="s">
        <v>109</v>
      </c>
      <c r="H46" s="55" t="s">
        <v>110</v>
      </c>
      <c r="I46" s="54" t="s">
        <v>111</v>
      </c>
      <c r="J46" s="55" t="s">
        <v>112</v>
      </c>
      <c r="K46" s="56" t="s">
        <v>113</v>
      </c>
      <c r="N46" s="18" t="s">
        <v>114</v>
      </c>
      <c r="O46" s="65" t="s">
        <v>115</v>
      </c>
      <c r="P46" s="65" t="s">
        <v>116</v>
      </c>
      <c r="Q46" s="65" t="s">
        <v>117</v>
      </c>
      <c r="R46" s="65" t="s">
        <v>115</v>
      </c>
      <c r="S46" s="65" t="s">
        <v>116</v>
      </c>
      <c r="T46" s="65" t="s">
        <v>117</v>
      </c>
      <c r="U46" s="65" t="s">
        <v>115</v>
      </c>
      <c r="V46" s="65" t="s">
        <v>116</v>
      </c>
      <c r="W46" s="65" t="s">
        <v>117</v>
      </c>
    </row>
    <row r="47" spans="1:23" x14ac:dyDescent="0.25">
      <c r="B47" s="13" t="s">
        <v>118</v>
      </c>
      <c r="C47" s="71"/>
      <c r="D47" s="71"/>
      <c r="E47" s="50"/>
      <c r="F47" s="41">
        <f>C47-D47+E47</f>
        <v>0</v>
      </c>
      <c r="G47" s="87"/>
      <c r="H47" s="15">
        <f>F47*G47</f>
        <v>0</v>
      </c>
      <c r="I47" s="87"/>
      <c r="J47" s="17">
        <f>F47*I47</f>
        <v>0</v>
      </c>
      <c r="K47" s="16">
        <f>J47-H47</f>
        <v>0</v>
      </c>
      <c r="N47" s="11" t="s">
        <v>118</v>
      </c>
      <c r="O47" s="11">
        <v>6.6869999999999999E-2</v>
      </c>
      <c r="P47" s="11">
        <v>8.677E-2</v>
      </c>
      <c r="Q47" s="11">
        <v>8.2269999999999996E-2</v>
      </c>
      <c r="R47" s="19">
        <v>8.4229999999999999E-2</v>
      </c>
      <c r="S47" s="19">
        <v>9.214E-2</v>
      </c>
      <c r="T47" s="19">
        <v>9.1789999999999997E-2</v>
      </c>
      <c r="U47" s="19">
        <v>5.5490000000000005E-2</v>
      </c>
      <c r="V47" s="19">
        <v>6.1609999999999998E-2</v>
      </c>
      <c r="W47" s="19">
        <v>5.0680000000000003E-2</v>
      </c>
    </row>
    <row r="48" spans="1:23" x14ac:dyDescent="0.25">
      <c r="B48" s="13" t="s">
        <v>119</v>
      </c>
      <c r="C48" s="71"/>
      <c r="D48" s="71"/>
      <c r="E48" s="50"/>
      <c r="F48" s="41">
        <f t="shared" ref="F48:F58" si="0">C48-D48+E48</f>
        <v>0</v>
      </c>
      <c r="G48" s="87"/>
      <c r="H48" s="15">
        <f t="shared" ref="H48:H58" si="1">F48*G48</f>
        <v>0</v>
      </c>
      <c r="I48" s="87"/>
      <c r="J48" s="17">
        <f t="shared" ref="J48:J58" si="2">F48*I48</f>
        <v>0</v>
      </c>
      <c r="K48" s="16">
        <f t="shared" ref="K48:K58" si="3">J48-H48</f>
        <v>0</v>
      </c>
      <c r="N48" s="11" t="s">
        <v>119</v>
      </c>
      <c r="O48" s="11">
        <v>0.10559</v>
      </c>
      <c r="P48" s="20">
        <v>8.43E-2</v>
      </c>
      <c r="Q48" s="11">
        <v>8.6389999999999995E-2</v>
      </c>
      <c r="R48" s="20">
        <v>0.10384</v>
      </c>
      <c r="S48" s="20">
        <v>9.6780000000000005E-2</v>
      </c>
      <c r="T48" s="20">
        <v>9.851E-2</v>
      </c>
      <c r="U48" s="20">
        <v>6.9809999999999997E-2</v>
      </c>
      <c r="V48" s="20">
        <v>4.095E-2</v>
      </c>
      <c r="W48" s="20">
        <v>3.9609999999999999E-2</v>
      </c>
    </row>
    <row r="49" spans="1:23" x14ac:dyDescent="0.25">
      <c r="B49" s="13" t="s">
        <v>120</v>
      </c>
      <c r="C49" s="71"/>
      <c r="D49" s="71"/>
      <c r="E49" s="50"/>
      <c r="F49" s="41">
        <f t="shared" si="0"/>
        <v>0</v>
      </c>
      <c r="G49" s="87"/>
      <c r="H49" s="15">
        <f t="shared" si="1"/>
        <v>0</v>
      </c>
      <c r="I49" s="87"/>
      <c r="J49" s="17">
        <f t="shared" si="2"/>
        <v>0</v>
      </c>
      <c r="K49" s="16">
        <f t="shared" si="3"/>
        <v>0</v>
      </c>
      <c r="N49" s="11" t="s">
        <v>120</v>
      </c>
      <c r="O49" s="11">
        <v>8.4089999999999998E-2</v>
      </c>
      <c r="P49" s="11">
        <v>6.8860000000000005E-2</v>
      </c>
      <c r="Q49" s="11">
        <v>7.1349999999999997E-2</v>
      </c>
      <c r="R49" s="20">
        <v>9.0219999999999995E-2</v>
      </c>
      <c r="S49" s="20">
        <v>0.10299</v>
      </c>
      <c r="T49" s="20">
        <v>0.1061</v>
      </c>
      <c r="U49" s="20">
        <v>3.6040000000000003E-2</v>
      </c>
      <c r="V49" s="20">
        <v>5.74E-2</v>
      </c>
      <c r="W49" s="20">
        <v>6.2899999999999998E-2</v>
      </c>
    </row>
    <row r="50" spans="1:23" x14ac:dyDescent="0.25">
      <c r="B50" s="13" t="s">
        <v>121</v>
      </c>
      <c r="C50" s="71"/>
      <c r="D50" s="71"/>
      <c r="E50" s="50"/>
      <c r="F50" s="41">
        <f t="shared" si="0"/>
        <v>0</v>
      </c>
      <c r="G50" s="87"/>
      <c r="H50" s="15">
        <f t="shared" si="1"/>
        <v>0</v>
      </c>
      <c r="I50" s="87"/>
      <c r="J50" s="17">
        <f t="shared" si="2"/>
        <v>0</v>
      </c>
      <c r="K50" s="16">
        <f t="shared" si="3"/>
        <v>0</v>
      </c>
      <c r="N50" s="11" t="s">
        <v>121</v>
      </c>
      <c r="O50" s="11">
        <v>6.8739999999999996E-2</v>
      </c>
      <c r="P50" s="11">
        <v>0.10218000000000001</v>
      </c>
      <c r="Q50" s="11">
        <v>0.10778</v>
      </c>
      <c r="R50" s="20">
        <v>0.12114999999999999</v>
      </c>
      <c r="S50" s="20">
        <v>0.11176999999999999</v>
      </c>
      <c r="T50" s="20">
        <v>0.11132</v>
      </c>
      <c r="U50" s="20">
        <v>6.7049999999999998E-2</v>
      </c>
      <c r="V50" s="20">
        <v>9.2679999999999998E-2</v>
      </c>
      <c r="W50" s="20">
        <v>9.5590000000000008E-2</v>
      </c>
    </row>
    <row r="51" spans="1:23" x14ac:dyDescent="0.25">
      <c r="B51" s="13" t="s">
        <v>122</v>
      </c>
      <c r="C51" s="71"/>
      <c r="D51" s="71"/>
      <c r="E51" s="50"/>
      <c r="F51" s="41">
        <f t="shared" si="0"/>
        <v>0</v>
      </c>
      <c r="G51" s="87"/>
      <c r="H51" s="15">
        <f t="shared" si="1"/>
        <v>0</v>
      </c>
      <c r="I51" s="87"/>
      <c r="J51" s="17">
        <f t="shared" si="2"/>
        <v>0</v>
      </c>
      <c r="K51" s="16">
        <f t="shared" si="3"/>
        <v>0</v>
      </c>
      <c r="N51" s="11" t="s">
        <v>122</v>
      </c>
      <c r="O51" s="11">
        <v>0.10623</v>
      </c>
      <c r="P51" s="11">
        <v>0.12776000000000001</v>
      </c>
      <c r="Q51" s="11">
        <v>0.12307</v>
      </c>
      <c r="R51" s="20">
        <v>0.10405</v>
      </c>
      <c r="S51" s="20">
        <v>0.11493</v>
      </c>
      <c r="T51" s="20">
        <v>0.10749</v>
      </c>
      <c r="U51" s="20">
        <v>9.4159999999999994E-2</v>
      </c>
      <c r="V51" s="20">
        <v>9.7299999999999998E-2</v>
      </c>
      <c r="W51" s="20">
        <v>9.6680000000000002E-2</v>
      </c>
    </row>
    <row r="52" spans="1:23" x14ac:dyDescent="0.25">
      <c r="B52" s="13" t="s">
        <v>123</v>
      </c>
      <c r="C52" s="71"/>
      <c r="D52" s="71"/>
      <c r="E52" s="50"/>
      <c r="F52" s="41">
        <f t="shared" si="0"/>
        <v>0</v>
      </c>
      <c r="G52" s="87"/>
      <c r="H52" s="15">
        <f t="shared" si="1"/>
        <v>0</v>
      </c>
      <c r="I52" s="87"/>
      <c r="J52" s="17">
        <f t="shared" si="2"/>
        <v>0</v>
      </c>
      <c r="K52" s="16">
        <f t="shared" si="3"/>
        <v>0</v>
      </c>
      <c r="N52" s="11" t="s">
        <v>123</v>
      </c>
      <c r="O52" s="11">
        <v>0.11953999999999999</v>
      </c>
      <c r="P52" s="11">
        <v>0.12536</v>
      </c>
      <c r="Q52" s="11">
        <v>0.11848</v>
      </c>
      <c r="R52" s="20">
        <v>0.11650000000000001</v>
      </c>
      <c r="S52" s="20">
        <v>9.3600000000000003E-2</v>
      </c>
      <c r="T52" s="20">
        <v>9.5449999999999993E-2</v>
      </c>
      <c r="U52" s="20">
        <v>9.2280000000000001E-2</v>
      </c>
      <c r="V52" s="20">
        <v>9.7680000000000003E-2</v>
      </c>
      <c r="W52" s="20">
        <v>9.5400000000000013E-2</v>
      </c>
    </row>
    <row r="53" spans="1:23" x14ac:dyDescent="0.25">
      <c r="B53" s="13" t="s">
        <v>124</v>
      </c>
      <c r="C53" s="50"/>
      <c r="D53" s="71"/>
      <c r="E53" s="50"/>
      <c r="F53" s="41">
        <f t="shared" si="0"/>
        <v>0</v>
      </c>
      <c r="G53" s="87"/>
      <c r="H53" s="15">
        <f t="shared" si="1"/>
        <v>0</v>
      </c>
      <c r="I53" s="87"/>
      <c r="J53" s="17">
        <f t="shared" si="2"/>
        <v>0</v>
      </c>
      <c r="K53" s="16">
        <f t="shared" si="3"/>
        <v>0</v>
      </c>
      <c r="N53" s="11" t="s">
        <v>124</v>
      </c>
      <c r="O53" s="11">
        <v>0.10652</v>
      </c>
      <c r="P53" s="11">
        <v>0.10197000000000001</v>
      </c>
      <c r="Q53" s="11">
        <v>0.1128</v>
      </c>
      <c r="R53" s="20">
        <v>7.6670000000000002E-2</v>
      </c>
      <c r="S53" s="20">
        <v>8.412E-2</v>
      </c>
      <c r="T53" s="20">
        <v>8.3059999999999995E-2</v>
      </c>
      <c r="U53" s="20">
        <v>8.8880000000000001E-2</v>
      </c>
      <c r="V53" s="20">
        <v>8.4129999999999996E-2</v>
      </c>
      <c r="W53" s="20">
        <v>7.8829999999999997E-2</v>
      </c>
    </row>
    <row r="54" spans="1:23" x14ac:dyDescent="0.25">
      <c r="B54" s="13" t="s">
        <v>125</v>
      </c>
      <c r="C54" s="50"/>
      <c r="D54" s="71"/>
      <c r="E54" s="50"/>
      <c r="F54" s="41">
        <f t="shared" si="0"/>
        <v>0</v>
      </c>
      <c r="G54" s="87"/>
      <c r="H54" s="15">
        <f t="shared" si="1"/>
        <v>0</v>
      </c>
      <c r="I54" s="87"/>
      <c r="J54" s="17">
        <f t="shared" si="2"/>
        <v>0</v>
      </c>
      <c r="K54" s="16">
        <f t="shared" si="3"/>
        <v>0</v>
      </c>
      <c r="N54" s="11" t="s">
        <v>125</v>
      </c>
      <c r="O54" s="11">
        <v>0.115</v>
      </c>
      <c r="P54" s="11">
        <v>0.10476000000000001</v>
      </c>
      <c r="Q54" s="11">
        <v>0.10109</v>
      </c>
      <c r="R54" s="20">
        <v>8.5690000000000002E-2</v>
      </c>
      <c r="S54" s="20">
        <v>7.0499999999999993E-2</v>
      </c>
      <c r="T54" s="20">
        <v>7.1029999999999996E-2</v>
      </c>
      <c r="U54" s="20">
        <v>8.8050000000000003E-2</v>
      </c>
      <c r="V54" s="20">
        <v>7.3550000000000004E-2</v>
      </c>
      <c r="W54" s="20">
        <v>8.0099999999999991E-2</v>
      </c>
    </row>
    <row r="55" spans="1:23" x14ac:dyDescent="0.25">
      <c r="B55" s="13" t="s">
        <v>126</v>
      </c>
      <c r="C55" s="50"/>
      <c r="D55" s="71"/>
      <c r="E55" s="50"/>
      <c r="F55" s="41">
        <f t="shared" si="0"/>
        <v>0</v>
      </c>
      <c r="G55" s="87"/>
      <c r="H55" s="15">
        <f t="shared" si="1"/>
        <v>0</v>
      </c>
      <c r="I55" s="87"/>
      <c r="J55" s="17">
        <f t="shared" si="2"/>
        <v>0</v>
      </c>
      <c r="K55" s="16">
        <f t="shared" si="3"/>
        <v>0</v>
      </c>
      <c r="N55" s="11" t="s">
        <v>126</v>
      </c>
      <c r="O55" s="11">
        <v>0.12739</v>
      </c>
      <c r="P55" s="11">
        <v>9.8949999999999996E-2</v>
      </c>
      <c r="Q55" s="11">
        <v>8.8639999999999997E-2</v>
      </c>
      <c r="R55" s="20">
        <v>7.0599999999999996E-2</v>
      </c>
      <c r="S55" s="20">
        <v>9.1480000000000006E-2</v>
      </c>
      <c r="T55" s="20">
        <v>9.5310000000000006E-2</v>
      </c>
      <c r="U55" s="20">
        <v>8.270000000000001E-2</v>
      </c>
      <c r="V55" s="20">
        <v>7.1910000000000002E-2</v>
      </c>
      <c r="W55" s="20">
        <v>6.7030000000000006E-2</v>
      </c>
    </row>
    <row r="56" spans="1:23" x14ac:dyDescent="0.25">
      <c r="B56" s="13" t="s">
        <v>127</v>
      </c>
      <c r="C56" s="50"/>
      <c r="D56" s="71"/>
      <c r="E56" s="50"/>
      <c r="F56" s="41">
        <f t="shared" si="0"/>
        <v>0</v>
      </c>
      <c r="G56" s="87"/>
      <c r="H56" s="15">
        <f t="shared" si="1"/>
        <v>0</v>
      </c>
      <c r="I56" s="87"/>
      <c r="J56" s="17">
        <f t="shared" si="2"/>
        <v>0</v>
      </c>
      <c r="K56" s="16">
        <f t="shared" si="3"/>
        <v>0</v>
      </c>
      <c r="N56" s="11" t="s">
        <v>127</v>
      </c>
      <c r="O56" s="11">
        <v>0.10212</v>
      </c>
      <c r="P56" s="11">
        <v>0.11973</v>
      </c>
      <c r="Q56" s="11">
        <v>0.12562999999999999</v>
      </c>
      <c r="R56" s="20">
        <v>9.7199999999999995E-2</v>
      </c>
      <c r="S56" s="20">
        <v>0.1178</v>
      </c>
      <c r="T56" s="20">
        <v>0.11226</v>
      </c>
      <c r="U56" s="20">
        <v>6.3710000000000003E-2</v>
      </c>
      <c r="V56" s="20">
        <v>7.1929999999999994E-2</v>
      </c>
      <c r="W56" s="20">
        <v>7.5439999999999993E-2</v>
      </c>
    </row>
    <row r="57" spans="1:23" x14ac:dyDescent="0.25">
      <c r="B57" s="13" t="s">
        <v>128</v>
      </c>
      <c r="C57" s="50"/>
      <c r="D57" s="71"/>
      <c r="E57" s="50"/>
      <c r="F57" s="41">
        <f t="shared" si="0"/>
        <v>0</v>
      </c>
      <c r="G57" s="87"/>
      <c r="H57" s="15">
        <f t="shared" si="1"/>
        <v>0</v>
      </c>
      <c r="I57" s="87"/>
      <c r="J57" s="17">
        <f t="shared" si="2"/>
        <v>0</v>
      </c>
      <c r="K57" s="16">
        <f t="shared" si="3"/>
        <v>0</v>
      </c>
      <c r="N57" s="11" t="s">
        <v>128</v>
      </c>
      <c r="O57" s="11">
        <v>0.11164</v>
      </c>
      <c r="P57" s="11">
        <v>9.6689999999999998E-2</v>
      </c>
      <c r="Q57" s="11">
        <v>9.7040000000000001E-2</v>
      </c>
      <c r="R57" s="20">
        <v>0.12271</v>
      </c>
      <c r="S57" s="20">
        <v>0.115</v>
      </c>
      <c r="T57" s="20">
        <v>0.11108999999999999</v>
      </c>
      <c r="U57" s="20">
        <v>7.6230000000000006E-2</v>
      </c>
      <c r="V57" s="20">
        <v>0.12447999999999999</v>
      </c>
      <c r="W57" s="20">
        <v>0.11320000000000001</v>
      </c>
    </row>
    <row r="58" spans="1:23" x14ac:dyDescent="0.25">
      <c r="B58" s="13" t="s">
        <v>129</v>
      </c>
      <c r="C58" s="72"/>
      <c r="D58" s="71"/>
      <c r="E58" s="50"/>
      <c r="F58" s="41">
        <f t="shared" si="0"/>
        <v>0</v>
      </c>
      <c r="G58" s="87"/>
      <c r="H58" s="15">
        <f t="shared" si="1"/>
        <v>0</v>
      </c>
      <c r="I58" s="87"/>
      <c r="J58" s="17">
        <f t="shared" si="2"/>
        <v>0</v>
      </c>
      <c r="K58" s="16">
        <f t="shared" si="3"/>
        <v>0</v>
      </c>
      <c r="N58" s="27" t="s">
        <v>129</v>
      </c>
      <c r="O58" s="11">
        <v>8.3909999999999998E-2</v>
      </c>
      <c r="P58" s="11">
        <v>9.6689999999999998E-2</v>
      </c>
      <c r="Q58" s="11">
        <v>9.2069999999999999E-2</v>
      </c>
      <c r="R58" s="28">
        <v>0.10594000000000001</v>
      </c>
      <c r="S58" s="28">
        <v>7.8719999999999998E-2</v>
      </c>
      <c r="T58" s="28">
        <v>8.7080000000000005E-2</v>
      </c>
      <c r="U58" s="28">
        <v>0.11462</v>
      </c>
      <c r="V58" s="28">
        <v>8.8090000000000002E-2</v>
      </c>
      <c r="W58" s="28">
        <v>9.4709999999999989E-2</v>
      </c>
    </row>
    <row r="59" spans="1:23" ht="28.2" thickBot="1" x14ac:dyDescent="0.3">
      <c r="B59" s="102" t="s">
        <v>130</v>
      </c>
      <c r="C59" s="74">
        <f>SUM(C47:C58)</f>
        <v>0</v>
      </c>
      <c r="D59" s="74">
        <f>SUM(D47:D58)</f>
        <v>0</v>
      </c>
      <c r="E59" s="74">
        <f>SUM(E47:E58)</f>
        <v>0</v>
      </c>
      <c r="F59" s="74">
        <f>SUM(F47:F58)</f>
        <v>0</v>
      </c>
      <c r="G59" s="33"/>
      <c r="H59" s="34">
        <f>SUM(H47:H58)</f>
        <v>0</v>
      </c>
      <c r="I59" s="33"/>
      <c r="J59" s="34">
        <f>SUM(J47:J58)</f>
        <v>0</v>
      </c>
      <c r="K59" s="35">
        <f>SUM(K47:K58)</f>
        <v>0</v>
      </c>
      <c r="N59" s="30"/>
      <c r="O59" s="31"/>
      <c r="P59" s="31"/>
      <c r="Q59" s="31"/>
      <c r="R59" s="31"/>
      <c r="S59" s="31"/>
      <c r="T59" s="31"/>
      <c r="U59" s="31"/>
      <c r="V59" s="31"/>
      <c r="W59" s="31"/>
    </row>
    <row r="60" spans="1:23" x14ac:dyDescent="0.25">
      <c r="G60" s="4"/>
      <c r="H60" s="4"/>
      <c r="I60" s="4"/>
      <c r="J60" s="59"/>
      <c r="K60" s="100"/>
      <c r="O60" s="29"/>
      <c r="P60" s="29"/>
      <c r="Q60" s="29"/>
      <c r="R60" s="29"/>
      <c r="S60" s="29"/>
      <c r="T60" s="29"/>
      <c r="U60" s="29"/>
      <c r="V60" s="29"/>
      <c r="W60" s="29"/>
    </row>
    <row r="61" spans="1:23" x14ac:dyDescent="0.25">
      <c r="O61" s="29"/>
      <c r="P61" s="29"/>
      <c r="Q61" s="29"/>
      <c r="R61" s="29"/>
      <c r="S61" s="29"/>
      <c r="T61" s="29"/>
      <c r="U61" s="29"/>
      <c r="V61" s="29"/>
      <c r="W61" s="29"/>
    </row>
    <row r="62" spans="1:23" x14ac:dyDescent="0.25">
      <c r="A62" s="1" t="s">
        <v>131</v>
      </c>
      <c r="B62" s="37" t="s">
        <v>132</v>
      </c>
      <c r="C62" s="2"/>
      <c r="K62" s="91"/>
      <c r="O62" s="29"/>
      <c r="P62" s="29"/>
      <c r="Q62" s="29"/>
      <c r="R62" s="29"/>
      <c r="S62" s="29"/>
      <c r="T62" s="29"/>
      <c r="U62" s="29"/>
      <c r="V62" s="29"/>
      <c r="W62" s="29"/>
    </row>
    <row r="63" spans="1:23" x14ac:dyDescent="0.25">
      <c r="B63" s="3"/>
      <c r="C63" s="2"/>
      <c r="K63" s="99"/>
    </row>
    <row r="64" spans="1:23" ht="41.4" x14ac:dyDescent="0.25">
      <c r="A64" s="11"/>
      <c r="B64" s="78" t="s">
        <v>133</v>
      </c>
      <c r="C64" s="38" t="s">
        <v>134</v>
      </c>
      <c r="D64" s="38" t="s">
        <v>135</v>
      </c>
      <c r="E64" s="307" t="s">
        <v>136</v>
      </c>
      <c r="F64" s="307"/>
      <c r="G64" s="307"/>
      <c r="H64" s="307"/>
      <c r="I64" s="307"/>
      <c r="K64" s="97"/>
    </row>
    <row r="65" spans="1:17" ht="30.75" customHeight="1" x14ac:dyDescent="0.25">
      <c r="A65" s="311" t="s">
        <v>137</v>
      </c>
      <c r="B65" s="312"/>
      <c r="C65" s="313"/>
      <c r="D65" s="101"/>
      <c r="E65" s="298"/>
      <c r="F65" s="299"/>
      <c r="G65" s="299"/>
      <c r="H65" s="299"/>
      <c r="I65" s="300"/>
      <c r="K65" s="97"/>
    </row>
    <row r="66" spans="1:17" ht="27.6" x14ac:dyDescent="0.25">
      <c r="A66" s="60" t="s">
        <v>138</v>
      </c>
      <c r="B66" s="39" t="s">
        <v>139</v>
      </c>
      <c r="C66" s="88"/>
      <c r="D66" s="75"/>
      <c r="E66" s="301"/>
      <c r="F66" s="301"/>
      <c r="G66" s="301"/>
      <c r="H66" s="301"/>
      <c r="I66" s="301"/>
      <c r="K66" s="97"/>
    </row>
    <row r="67" spans="1:17" ht="27.6" x14ac:dyDescent="0.25">
      <c r="A67" s="60" t="s">
        <v>140</v>
      </c>
      <c r="B67" s="39" t="s">
        <v>141</v>
      </c>
      <c r="C67" s="89"/>
      <c r="D67" s="90"/>
      <c r="E67" s="308"/>
      <c r="F67" s="309"/>
      <c r="G67" s="309"/>
      <c r="H67" s="309"/>
      <c r="I67" s="310"/>
      <c r="J67" s="4"/>
      <c r="K67" s="98"/>
      <c r="L67" s="4"/>
      <c r="M67" s="4"/>
      <c r="N67" s="4"/>
      <c r="O67" s="4"/>
      <c r="P67" s="4"/>
      <c r="Q67" s="4"/>
    </row>
    <row r="68" spans="1:17" ht="27.6" x14ac:dyDescent="0.25">
      <c r="A68" s="60" t="s">
        <v>142</v>
      </c>
      <c r="B68" s="39" t="s">
        <v>143</v>
      </c>
      <c r="C68" s="88"/>
      <c r="D68" s="90"/>
      <c r="E68" s="301"/>
      <c r="F68" s="301"/>
      <c r="G68" s="301"/>
      <c r="H68" s="301"/>
      <c r="I68" s="301"/>
      <c r="J68" s="4"/>
      <c r="K68" s="98"/>
      <c r="L68" s="4"/>
      <c r="M68" s="4"/>
      <c r="N68" s="4"/>
      <c r="O68" s="4"/>
      <c r="P68" s="4"/>
      <c r="Q68" s="4"/>
    </row>
    <row r="69" spans="1:17" ht="27.6" x14ac:dyDescent="0.25">
      <c r="A69" s="60" t="s">
        <v>144</v>
      </c>
      <c r="B69" s="39" t="s">
        <v>145</v>
      </c>
      <c r="C69" s="89"/>
      <c r="D69" s="90"/>
      <c r="E69" s="308"/>
      <c r="F69" s="309"/>
      <c r="G69" s="309"/>
      <c r="H69" s="309"/>
      <c r="I69" s="310"/>
      <c r="J69" s="4"/>
      <c r="K69" s="98"/>
      <c r="L69" s="4"/>
      <c r="M69" s="4"/>
      <c r="N69" s="4"/>
      <c r="O69" s="4"/>
      <c r="P69" s="4"/>
      <c r="Q69" s="4"/>
    </row>
    <row r="70" spans="1:17" ht="27.6" x14ac:dyDescent="0.25">
      <c r="A70" s="60" t="s">
        <v>146</v>
      </c>
      <c r="B70" s="39" t="s">
        <v>147</v>
      </c>
      <c r="C70" s="88"/>
      <c r="D70" s="75"/>
      <c r="E70" s="301"/>
      <c r="F70" s="301"/>
      <c r="G70" s="301"/>
      <c r="H70" s="301"/>
      <c r="I70" s="301"/>
      <c r="J70" s="4"/>
      <c r="K70" s="98"/>
      <c r="L70" s="4"/>
      <c r="M70" s="4"/>
      <c r="N70" s="4"/>
      <c r="O70" s="4"/>
      <c r="P70" s="4"/>
      <c r="Q70" s="4"/>
    </row>
    <row r="71" spans="1:17" ht="27.6" x14ac:dyDescent="0.25">
      <c r="A71" s="60" t="s">
        <v>148</v>
      </c>
      <c r="B71" s="39" t="s">
        <v>149</v>
      </c>
      <c r="C71" s="88"/>
      <c r="D71" s="75"/>
      <c r="E71" s="301"/>
      <c r="F71" s="301"/>
      <c r="G71" s="301"/>
      <c r="H71" s="301"/>
      <c r="I71" s="301"/>
      <c r="J71" s="4"/>
      <c r="K71" s="98"/>
      <c r="L71" s="4"/>
      <c r="M71" s="4"/>
      <c r="N71" s="4"/>
      <c r="O71" s="4"/>
      <c r="P71" s="4"/>
      <c r="Q71" s="4"/>
    </row>
    <row r="72" spans="1:17" ht="33.75" customHeight="1" x14ac:dyDescent="0.25">
      <c r="A72" s="60">
        <v>4</v>
      </c>
      <c r="B72" s="39" t="s">
        <v>150</v>
      </c>
      <c r="C72" s="88"/>
      <c r="D72" s="75"/>
      <c r="E72" s="301"/>
      <c r="F72" s="301"/>
      <c r="G72" s="301"/>
      <c r="H72" s="301"/>
      <c r="I72" s="301"/>
      <c r="J72" s="4"/>
      <c r="K72" s="98"/>
      <c r="L72" s="4"/>
      <c r="M72" s="4"/>
      <c r="N72" s="4"/>
      <c r="O72" s="4"/>
      <c r="P72" s="4"/>
      <c r="Q72" s="4"/>
    </row>
    <row r="73" spans="1:17" ht="41.4" x14ac:dyDescent="0.25">
      <c r="A73" s="60">
        <v>5</v>
      </c>
      <c r="B73" s="39" t="s">
        <v>151</v>
      </c>
      <c r="C73" s="88"/>
      <c r="D73" s="75"/>
      <c r="E73" s="301"/>
      <c r="F73" s="301"/>
      <c r="G73" s="301"/>
      <c r="H73" s="301"/>
      <c r="I73" s="301"/>
      <c r="J73" s="4"/>
      <c r="K73" s="98"/>
      <c r="L73" s="4"/>
      <c r="M73" s="4"/>
      <c r="N73" s="4"/>
      <c r="O73" s="4"/>
      <c r="P73" s="4"/>
      <c r="Q73" s="4"/>
    </row>
    <row r="74" spans="1:17" ht="27.6" x14ac:dyDescent="0.25">
      <c r="A74" s="44">
        <v>6</v>
      </c>
      <c r="B74" s="103" t="s">
        <v>152</v>
      </c>
      <c r="C74" s="88"/>
      <c r="D74" s="75"/>
      <c r="E74" s="301"/>
      <c r="F74" s="301"/>
      <c r="G74" s="301"/>
      <c r="H74" s="301"/>
      <c r="I74" s="301"/>
    </row>
    <row r="75" spans="1:17" x14ac:dyDescent="0.25">
      <c r="A75" s="44">
        <v>7</v>
      </c>
      <c r="B75" s="36"/>
      <c r="C75" s="10"/>
      <c r="D75" s="75"/>
      <c r="E75" s="301"/>
      <c r="F75" s="301"/>
      <c r="G75" s="301"/>
      <c r="H75" s="301"/>
      <c r="I75" s="301"/>
    </row>
    <row r="76" spans="1:17" x14ac:dyDescent="0.25">
      <c r="A76" s="44">
        <v>8</v>
      </c>
      <c r="B76" s="36"/>
      <c r="C76" s="10"/>
      <c r="D76" s="75"/>
      <c r="E76" s="301"/>
      <c r="F76" s="301"/>
      <c r="G76" s="301"/>
      <c r="H76" s="301"/>
      <c r="I76" s="301"/>
    </row>
    <row r="77" spans="1:17" x14ac:dyDescent="0.25">
      <c r="A77" s="44">
        <v>9</v>
      </c>
      <c r="B77" s="36"/>
      <c r="C77" s="10"/>
      <c r="D77" s="75"/>
      <c r="E77" s="308"/>
      <c r="F77" s="309"/>
      <c r="G77" s="309"/>
      <c r="H77" s="309"/>
      <c r="I77" s="310"/>
    </row>
    <row r="78" spans="1:17" x14ac:dyDescent="0.25">
      <c r="A78" s="44">
        <v>10</v>
      </c>
      <c r="B78" s="36"/>
      <c r="C78" s="10"/>
      <c r="D78" s="75"/>
      <c r="E78" s="301"/>
      <c r="F78" s="301"/>
      <c r="G78" s="301"/>
      <c r="H78" s="301"/>
      <c r="I78" s="301"/>
    </row>
    <row r="79" spans="1:17" x14ac:dyDescent="0.25">
      <c r="A79" s="1" t="s">
        <v>153</v>
      </c>
      <c r="B79" s="2" t="s">
        <v>154</v>
      </c>
      <c r="C79" s="2"/>
      <c r="D79" s="76">
        <f>SUM(D65:D78)</f>
        <v>0</v>
      </c>
      <c r="E79" s="25"/>
      <c r="F79" s="25"/>
      <c r="G79" s="25"/>
      <c r="H79" s="25"/>
    </row>
    <row r="80" spans="1:17" x14ac:dyDescent="0.25">
      <c r="B80" s="61" t="s">
        <v>155</v>
      </c>
      <c r="C80" s="61"/>
      <c r="D80" s="76">
        <f>K59</f>
        <v>0</v>
      </c>
      <c r="E80" s="25"/>
      <c r="F80" s="25"/>
      <c r="G80" s="25"/>
      <c r="H80" s="25"/>
    </row>
    <row r="81" spans="1:11" x14ac:dyDescent="0.25">
      <c r="B81" s="61" t="s">
        <v>156</v>
      </c>
      <c r="C81" s="61"/>
      <c r="D81" s="77">
        <f>D79-D80</f>
        <v>0</v>
      </c>
    </row>
    <row r="82" spans="1:11" ht="14.4" thickBot="1" x14ac:dyDescent="0.3">
      <c r="B82" s="61" t="s">
        <v>157</v>
      </c>
      <c r="C82" s="62"/>
      <c r="D82" s="51">
        <f>IF(ISERROR(D81/J59),0,D81/J59)</f>
        <v>0</v>
      </c>
      <c r="E82" s="80" t="str">
        <f>IF(AND(D82&lt;0.01,D82&gt;-0.01),"","Unresolved differences of greater than + or - 1% should be explained")</f>
        <v/>
      </c>
      <c r="G82" s="4"/>
    </row>
    <row r="83" spans="1:11" ht="14.4" thickTop="1" x14ac:dyDescent="0.25">
      <c r="B83" s="2"/>
      <c r="C83" s="46"/>
      <c r="D83" s="49"/>
      <c r="G83" s="4"/>
    </row>
    <row r="84" spans="1:11" x14ac:dyDescent="0.25">
      <c r="B84" s="2"/>
      <c r="C84" s="46"/>
      <c r="D84" s="32"/>
    </row>
    <row r="85" spans="1:11" x14ac:dyDescent="0.25">
      <c r="A85" s="1" t="s">
        <v>158</v>
      </c>
      <c r="B85" s="37" t="s">
        <v>159</v>
      </c>
      <c r="C85" s="48"/>
      <c r="D85" s="49"/>
    </row>
    <row r="86" spans="1:11" x14ac:dyDescent="0.25">
      <c r="B86" s="47"/>
      <c r="C86" s="48"/>
      <c r="D86" s="49"/>
    </row>
    <row r="87" spans="1:11" ht="69" x14ac:dyDescent="0.25">
      <c r="B87" s="79" t="s">
        <v>4</v>
      </c>
      <c r="C87" s="38" t="s">
        <v>160</v>
      </c>
      <c r="D87" s="38" t="s">
        <v>161</v>
      </c>
      <c r="E87" s="38" t="s">
        <v>162</v>
      </c>
      <c r="F87" s="63" t="s">
        <v>154</v>
      </c>
      <c r="G87" s="38" t="s">
        <v>156</v>
      </c>
      <c r="H87" s="65" t="s">
        <v>163</v>
      </c>
      <c r="I87" s="38" t="s">
        <v>157</v>
      </c>
      <c r="J87" s="4"/>
      <c r="K87" s="4"/>
    </row>
    <row r="88" spans="1:11" x14ac:dyDescent="0.25">
      <c r="B88" s="92"/>
      <c r="C88" s="83"/>
      <c r="D88" s="83"/>
      <c r="E88" s="84"/>
      <c r="F88" s="105">
        <f>SUM(D88:E88)</f>
        <v>0</v>
      </c>
      <c r="G88" s="85">
        <f>F88-C88</f>
        <v>0</v>
      </c>
      <c r="H88" s="84"/>
      <c r="I88" s="81">
        <f>IF(ISERROR(G88/H88),0,G88/H88)</f>
        <v>0</v>
      </c>
      <c r="J88" s="4"/>
      <c r="K88" s="4"/>
    </row>
    <row r="89" spans="1:11" x14ac:dyDescent="0.25">
      <c r="B89" s="92"/>
      <c r="C89" s="83"/>
      <c r="D89" s="83"/>
      <c r="E89" s="84"/>
      <c r="F89" s="105">
        <f>SUM(D89:E89)</f>
        <v>0</v>
      </c>
      <c r="G89" s="85">
        <f>F89-C89</f>
        <v>0</v>
      </c>
      <c r="H89" s="84"/>
      <c r="I89" s="81">
        <f>IF(ISERROR(G89/H89),0,G89/H89)</f>
        <v>0</v>
      </c>
      <c r="J89" s="4"/>
      <c r="K89" s="4"/>
    </row>
    <row r="90" spans="1:11" x14ac:dyDescent="0.25">
      <c r="B90" s="92"/>
      <c r="C90" s="83"/>
      <c r="D90" s="83"/>
      <c r="E90" s="84"/>
      <c r="F90" s="105">
        <f>SUM(D90:E90)</f>
        <v>0</v>
      </c>
      <c r="G90" s="85">
        <f>F90-C90</f>
        <v>0</v>
      </c>
      <c r="H90" s="84"/>
      <c r="I90" s="81">
        <f>IF(ISERROR(G90/H90),0,G90/H90)</f>
        <v>0</v>
      </c>
      <c r="J90" s="4"/>
      <c r="K90" s="4"/>
    </row>
    <row r="91" spans="1:11" ht="14.4" thickBot="1" x14ac:dyDescent="0.3">
      <c r="B91" s="92"/>
      <c r="C91" s="86"/>
      <c r="D91" s="86"/>
      <c r="E91" s="86"/>
      <c r="F91" s="105">
        <f>SUM(D91:E91)</f>
        <v>0</v>
      </c>
      <c r="G91" s="85">
        <f>F91-C91</f>
        <v>0</v>
      </c>
      <c r="H91" s="86"/>
      <c r="I91" s="82">
        <f>IF(ISERROR(G91/H91),0,G91/H91)</f>
        <v>0</v>
      </c>
      <c r="J91" s="4"/>
      <c r="K91" s="4"/>
    </row>
    <row r="92" spans="1:11" ht="14.4" thickBot="1" x14ac:dyDescent="0.3">
      <c r="B92" s="64" t="s">
        <v>5</v>
      </c>
      <c r="C92" s="104">
        <f t="shared" ref="C92:H92" si="4">SUM(C88:C91)</f>
        <v>0</v>
      </c>
      <c r="D92" s="104">
        <f t="shared" si="4"/>
        <v>0</v>
      </c>
      <c r="E92" s="104">
        <f t="shared" si="4"/>
        <v>0</v>
      </c>
      <c r="F92" s="106">
        <f t="shared" si="4"/>
        <v>0</v>
      </c>
      <c r="G92" s="104">
        <f>SUM(G88:G91)</f>
        <v>0</v>
      </c>
      <c r="H92" s="66">
        <f t="shared" si="4"/>
        <v>0</v>
      </c>
      <c r="I92" s="67" t="s">
        <v>164</v>
      </c>
      <c r="J92" s="4"/>
      <c r="K92" s="4"/>
    </row>
    <row r="93" spans="1:11" x14ac:dyDescent="0.25">
      <c r="B93" s="4"/>
      <c r="C93" s="4"/>
      <c r="D93" s="4"/>
      <c r="E93" s="4"/>
      <c r="F93" s="4"/>
      <c r="G93" s="4"/>
      <c r="J93" s="4"/>
      <c r="K93" s="4"/>
    </row>
    <row r="94" spans="1:11" x14ac:dyDescent="0.25">
      <c r="J94" s="4"/>
      <c r="K94" s="4"/>
    </row>
    <row r="95" spans="1:11" x14ac:dyDescent="0.25">
      <c r="B95" s="3" t="s">
        <v>165</v>
      </c>
      <c r="J95" s="4"/>
      <c r="K95" s="4"/>
    </row>
    <row r="96" spans="1:11" x14ac:dyDescent="0.25">
      <c r="B96" s="43"/>
      <c r="C96" s="43"/>
      <c r="D96" s="43"/>
      <c r="E96" s="43"/>
      <c r="F96" s="43"/>
      <c r="G96" s="43"/>
      <c r="H96" s="43"/>
      <c r="J96" s="4"/>
      <c r="K96" s="4"/>
    </row>
    <row r="97" spans="2:11" x14ac:dyDescent="0.25">
      <c r="B97" s="43"/>
      <c r="C97" s="43"/>
      <c r="D97" s="43"/>
      <c r="E97" s="43"/>
      <c r="F97" s="43"/>
      <c r="G97" s="43"/>
      <c r="H97" s="43"/>
      <c r="J97" s="4"/>
      <c r="K97" s="4"/>
    </row>
    <row r="98" spans="2:11" x14ac:dyDescent="0.25">
      <c r="B98" s="43"/>
      <c r="C98" s="43"/>
      <c r="D98" s="43"/>
      <c r="E98" s="43"/>
      <c r="F98" s="43"/>
      <c r="G98" s="43"/>
      <c r="H98" s="43"/>
    </row>
    <row r="99" spans="2:11" x14ac:dyDescent="0.25">
      <c r="B99" s="43"/>
      <c r="C99" s="43"/>
      <c r="D99" s="43"/>
      <c r="E99" s="43"/>
      <c r="F99" s="43"/>
      <c r="G99" s="43"/>
      <c r="H99" s="43"/>
    </row>
    <row r="100" spans="2:11" x14ac:dyDescent="0.25">
      <c r="B100" s="43"/>
      <c r="C100" s="43"/>
      <c r="D100" s="43"/>
      <c r="E100" s="43"/>
      <c r="F100" s="43"/>
      <c r="G100" s="43"/>
      <c r="H100" s="43"/>
    </row>
    <row r="101" spans="2:11" x14ac:dyDescent="0.25">
      <c r="B101" s="43"/>
      <c r="C101" s="43"/>
      <c r="D101" s="43"/>
      <c r="E101" s="43"/>
      <c r="F101" s="43"/>
      <c r="G101" s="43"/>
      <c r="H101" s="43"/>
    </row>
    <row r="102" spans="2:11" x14ac:dyDescent="0.25">
      <c r="B102" s="43"/>
      <c r="C102" s="43"/>
      <c r="D102" s="43"/>
      <c r="E102" s="43"/>
      <c r="F102" s="43"/>
      <c r="G102" s="43"/>
      <c r="H102" s="43"/>
    </row>
    <row r="103" spans="2:11" x14ac:dyDescent="0.25">
      <c r="B103" s="43"/>
      <c r="C103" s="43"/>
      <c r="D103" s="43"/>
      <c r="E103" s="43"/>
      <c r="F103" s="43"/>
      <c r="G103" s="43"/>
      <c r="H103" s="43"/>
    </row>
  </sheetData>
  <sheetProtection algorithmName="SHA-512" hashValue="+ZCyyFdIE4KTTsfGpijJ/9j39ZvuiSSSH5Oooyi6jL94EFW2h+B9BRsqnTZ/mEjdn3CA1h81/CIIw0asFAwugg==" saltValue="XTzEiJvlsDZzfFb9tIQ/oQ==" spinCount="100000" sheet="1" objects="1" scenarios="1"/>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xr:uid="{00000000-0002-0000-02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2:W97"/>
  <sheetViews>
    <sheetView showGridLines="0" topLeftCell="A13" zoomScale="70" zoomScaleNormal="70" workbookViewId="0">
      <selection activeCell="C23" sqref="C23"/>
    </sheetView>
  </sheetViews>
  <sheetFormatPr defaultColWidth="9" defaultRowHeight="14.4" x14ac:dyDescent="0.3"/>
  <cols>
    <col min="1" max="1" width="10.33203125" customWidth="1"/>
    <col min="2" max="2" width="53.88671875" customWidth="1"/>
    <col min="3" max="3" width="28" customWidth="1"/>
    <col min="4" max="4" width="23" customWidth="1"/>
    <col min="5" max="5" width="19" customWidth="1"/>
    <col min="6" max="6" width="24.3320312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1" customFormat="1" ht="13.8" x14ac:dyDescent="0.25">
      <c r="A12" s="4" t="s">
        <v>74</v>
      </c>
      <c r="B12" s="22" t="s">
        <v>75</v>
      </c>
      <c r="C12" s="21"/>
      <c r="D12" s="21"/>
      <c r="E12" s="21"/>
      <c r="F12" s="21"/>
      <c r="I12" s="4"/>
      <c r="J12" s="4"/>
      <c r="K12" s="4"/>
      <c r="L12" s="4"/>
      <c r="M12" s="4"/>
      <c r="N12" s="4"/>
      <c r="O12" s="4"/>
      <c r="P12" s="4"/>
      <c r="Q12" s="4"/>
      <c r="R12" s="4"/>
      <c r="S12" s="4"/>
    </row>
    <row r="13" spans="1:19" s="1" customFormat="1" ht="13.8" x14ac:dyDescent="0.25">
      <c r="A13" s="4"/>
      <c r="B13" s="302" t="s">
        <v>4</v>
      </c>
      <c r="C13" s="302"/>
      <c r="D13" s="121">
        <v>2016</v>
      </c>
      <c r="E13" s="303"/>
      <c r="F13" s="304"/>
      <c r="G13" s="4"/>
      <c r="H13" s="4"/>
      <c r="I13" s="4"/>
      <c r="J13" s="4"/>
      <c r="K13" s="4"/>
      <c r="L13" s="4"/>
      <c r="M13" s="4"/>
      <c r="N13" s="4"/>
      <c r="O13" s="4"/>
      <c r="P13" s="4"/>
      <c r="Q13" s="4"/>
    </row>
    <row r="14" spans="1:19" s="1" customFormat="1" thickBot="1" x14ac:dyDescent="0.3">
      <c r="A14" s="4"/>
      <c r="B14" s="5" t="s">
        <v>76</v>
      </c>
      <c r="C14" s="6" t="s">
        <v>77</v>
      </c>
      <c r="D14" s="258">
        <f>D15+D16</f>
        <v>0</v>
      </c>
      <c r="E14" s="6" t="s">
        <v>78</v>
      </c>
      <c r="F14" s="256">
        <v>1</v>
      </c>
      <c r="G14" s="4"/>
      <c r="H14" s="4"/>
      <c r="I14" s="4"/>
      <c r="J14" s="4"/>
      <c r="K14" s="4"/>
      <c r="L14" s="4"/>
      <c r="M14" s="4"/>
      <c r="N14" s="4"/>
      <c r="O14" s="4"/>
      <c r="P14" s="4"/>
      <c r="Q14" s="4"/>
    </row>
    <row r="15" spans="1:19" s="1" customFormat="1" ht="13.8" x14ac:dyDescent="0.25">
      <c r="B15" s="5" t="s">
        <v>79</v>
      </c>
      <c r="C15" s="6" t="s">
        <v>80</v>
      </c>
      <c r="D15" s="259"/>
      <c r="E15" s="6" t="s">
        <v>78</v>
      </c>
      <c r="F15" s="257">
        <f>IFERROR(D15/$D$14,0)</f>
        <v>0</v>
      </c>
    </row>
    <row r="16" spans="1:19" s="1" customFormat="1" thickBot="1" x14ac:dyDescent="0.3">
      <c r="B16" s="5" t="s">
        <v>81</v>
      </c>
      <c r="C16" s="6" t="s">
        <v>82</v>
      </c>
      <c r="D16" s="258">
        <f>D17+D18</f>
        <v>0</v>
      </c>
      <c r="E16" s="6" t="s">
        <v>78</v>
      </c>
      <c r="F16" s="257">
        <f>IFERROR(D16/$D$14,0)</f>
        <v>0</v>
      </c>
    </row>
    <row r="17" spans="1:8" s="1" customFormat="1" ht="13.8" x14ac:dyDescent="0.25">
      <c r="B17" s="5" t="s">
        <v>83</v>
      </c>
      <c r="C17" s="6" t="s">
        <v>84</v>
      </c>
      <c r="D17" s="259"/>
      <c r="E17" s="6" t="s">
        <v>78</v>
      </c>
      <c r="F17" s="257">
        <f>IFERROR(D17/$D$14,0)</f>
        <v>0</v>
      </c>
    </row>
    <row r="18" spans="1:8" s="1" customFormat="1" ht="13.8" x14ac:dyDescent="0.25">
      <c r="B18" s="5" t="s">
        <v>85</v>
      </c>
      <c r="C18" s="6" t="s">
        <v>86</v>
      </c>
      <c r="D18" s="260"/>
      <c r="E18" s="6" t="s">
        <v>78</v>
      </c>
      <c r="F18" s="257">
        <f>IFERROR(D18/$D$14,0)</f>
        <v>0</v>
      </c>
    </row>
    <row r="19" spans="1:8" s="1" customFormat="1" ht="34.5" customHeight="1" x14ac:dyDescent="0.25">
      <c r="B19" s="305" t="s">
        <v>87</v>
      </c>
      <c r="C19" s="305"/>
      <c r="D19" s="305"/>
      <c r="E19" s="305"/>
      <c r="F19" s="305"/>
      <c r="G19" s="306"/>
      <c r="H19" s="306"/>
    </row>
    <row r="20" spans="1:8" s="1" customFormat="1" ht="13.8" x14ac:dyDescent="0.25">
      <c r="D20" s="96"/>
    </row>
    <row r="21" spans="1:8" s="1" customFormat="1" ht="13.8" x14ac:dyDescent="0.25">
      <c r="A21" s="1" t="s">
        <v>88</v>
      </c>
      <c r="B21" s="3" t="s">
        <v>89</v>
      </c>
    </row>
    <row r="22" spans="1:8" s="1" customFormat="1" ht="13.8" x14ac:dyDescent="0.25">
      <c r="B22" s="3"/>
    </row>
    <row r="23" spans="1:8" s="1" customFormat="1" ht="13.8" x14ac:dyDescent="0.25">
      <c r="B23" s="2" t="s">
        <v>90</v>
      </c>
      <c r="C23" s="115"/>
      <c r="E23" s="4"/>
    </row>
    <row r="24" spans="1:8" s="1" customFormat="1" ht="13.8" x14ac:dyDescent="0.25">
      <c r="E24" s="4"/>
    </row>
    <row r="25" spans="1:8" s="1" customFormat="1" x14ac:dyDescent="0.3">
      <c r="B25" s="315" t="s">
        <v>166</v>
      </c>
      <c r="C25" s="316"/>
      <c r="D25" s="316"/>
      <c r="E25" s="316"/>
      <c r="F25" s="316"/>
      <c r="G25" s="115"/>
    </row>
    <row r="26" spans="1:8" s="1" customFormat="1" ht="13.8" x14ac:dyDescent="0.25">
      <c r="E26" s="4"/>
    </row>
    <row r="27" spans="1:8" s="1" customFormat="1" x14ac:dyDescent="0.3">
      <c r="B27" s="315" t="s">
        <v>167</v>
      </c>
      <c r="C27" s="316"/>
      <c r="D27" s="316"/>
      <c r="E27" s="316"/>
      <c r="F27" s="316"/>
      <c r="G27" s="115"/>
    </row>
    <row r="28" spans="1:8" s="1" customFormat="1" ht="15" customHeight="1" x14ac:dyDescent="0.25">
      <c r="B28" s="9"/>
      <c r="C28" s="9"/>
      <c r="D28" s="9"/>
      <c r="E28" s="9"/>
      <c r="F28" s="9"/>
      <c r="G28" s="9"/>
      <c r="H28" s="9"/>
    </row>
    <row r="29" spans="1:8" s="1" customFormat="1" ht="15" hidden="1" customHeight="1" x14ac:dyDescent="0.25">
      <c r="B29" s="9"/>
      <c r="C29" s="9"/>
      <c r="D29" s="9"/>
      <c r="E29" s="9"/>
      <c r="F29" s="9"/>
      <c r="G29" s="9"/>
      <c r="H29" s="9"/>
    </row>
    <row r="30" spans="1:8" s="1" customFormat="1" ht="15" hidden="1" customHeight="1" x14ac:dyDescent="0.25">
      <c r="B30" s="9"/>
      <c r="C30" s="9"/>
      <c r="D30" s="9"/>
      <c r="E30" s="9"/>
      <c r="F30" s="9"/>
      <c r="G30" s="9"/>
      <c r="H30" s="9"/>
    </row>
    <row r="31" spans="1:8" s="1" customFormat="1" ht="15" hidden="1" customHeight="1" x14ac:dyDescent="0.25">
      <c r="B31" s="9"/>
      <c r="C31" s="9"/>
      <c r="D31" s="9"/>
      <c r="E31" s="9"/>
      <c r="F31" s="9"/>
      <c r="G31" s="9"/>
      <c r="H31" s="9"/>
    </row>
    <row r="32" spans="1:8" s="1" customFormat="1" ht="14.25" hidden="1" customHeight="1" x14ac:dyDescent="0.25">
      <c r="B32" s="9"/>
      <c r="C32" s="9"/>
      <c r="D32" s="9"/>
      <c r="E32" s="9"/>
      <c r="F32" s="9"/>
      <c r="G32" s="9"/>
      <c r="H32" s="9"/>
    </row>
    <row r="33" spans="1:23" s="1" customFormat="1" ht="14.25" hidden="1" customHeight="1" x14ac:dyDescent="0.25">
      <c r="B33" s="9"/>
      <c r="C33" s="9"/>
      <c r="D33" s="9"/>
      <c r="E33" s="9"/>
      <c r="F33" s="9"/>
      <c r="G33" s="9"/>
      <c r="H33" s="9"/>
    </row>
    <row r="34" spans="1:23" s="1" customFormat="1" ht="14.25" hidden="1" customHeight="1" x14ac:dyDescent="0.25">
      <c r="B34" s="9"/>
      <c r="C34" s="9"/>
      <c r="D34" s="9"/>
      <c r="E34" s="9"/>
      <c r="F34" s="9"/>
      <c r="G34" s="9"/>
      <c r="H34" s="9"/>
    </row>
    <row r="35" spans="1:23" s="1" customFormat="1" ht="14.25" hidden="1" customHeight="1" x14ac:dyDescent="0.25">
      <c r="B35" s="9"/>
      <c r="C35" s="9"/>
      <c r="D35" s="9"/>
      <c r="E35" s="9"/>
      <c r="F35" s="9"/>
      <c r="G35" s="9"/>
      <c r="H35" s="9"/>
    </row>
    <row r="36" spans="1:23" s="1" customFormat="1" ht="13.8" x14ac:dyDescent="0.25"/>
    <row r="37" spans="1:23" s="1" customFormat="1" ht="13.8" x14ac:dyDescent="0.25">
      <c r="A37" s="1" t="s">
        <v>92</v>
      </c>
      <c r="B37" s="37" t="s">
        <v>93</v>
      </c>
      <c r="C37" s="3"/>
    </row>
    <row r="38" spans="1:23" s="1" customFormat="1" ht="15" thickBot="1" x14ac:dyDescent="0.35">
      <c r="B38" s="2" t="s">
        <v>4</v>
      </c>
      <c r="C38" s="122">
        <v>2016</v>
      </c>
      <c r="D38" s="4"/>
      <c r="E38" s="4"/>
      <c r="F38" s="68"/>
      <c r="G38" s="2"/>
      <c r="H38" s="2"/>
      <c r="I38" s="2"/>
      <c r="J38" s="2"/>
      <c r="K38" s="2"/>
      <c r="N38"/>
      <c r="O38"/>
      <c r="P38"/>
      <c r="Q38"/>
      <c r="R38"/>
      <c r="S38"/>
      <c r="T38"/>
      <c r="U38"/>
      <c r="V38"/>
      <c r="W38"/>
    </row>
    <row r="39" spans="1:23" s="9" customFormat="1" ht="80.25" customHeight="1" thickBot="1" x14ac:dyDescent="0.35">
      <c r="B39" s="40" t="s">
        <v>95</v>
      </c>
      <c r="C39" s="52" t="s">
        <v>96</v>
      </c>
      <c r="D39" s="69" t="s">
        <v>97</v>
      </c>
      <c r="E39" s="70" t="s">
        <v>98</v>
      </c>
      <c r="F39" s="57" t="s">
        <v>99</v>
      </c>
      <c r="G39" s="26" t="s">
        <v>100</v>
      </c>
      <c r="H39" s="26" t="s">
        <v>101</v>
      </c>
      <c r="I39" s="26" t="s">
        <v>102</v>
      </c>
      <c r="J39" s="26" t="s">
        <v>103</v>
      </c>
      <c r="K39" s="58" t="s">
        <v>168</v>
      </c>
      <c r="N39"/>
      <c r="O39"/>
      <c r="P39"/>
      <c r="Q39"/>
      <c r="R39"/>
      <c r="S39"/>
      <c r="T39"/>
      <c r="U39"/>
      <c r="V39"/>
      <c r="W39"/>
    </row>
    <row r="40" spans="1:23" s="9" customFormat="1" x14ac:dyDescent="0.3">
      <c r="B40" s="12"/>
      <c r="C40" s="53" t="s">
        <v>105</v>
      </c>
      <c r="D40" s="53" t="s">
        <v>106</v>
      </c>
      <c r="E40" s="54" t="s">
        <v>107</v>
      </c>
      <c r="F40" s="54" t="s">
        <v>108</v>
      </c>
      <c r="G40" s="54" t="s">
        <v>109</v>
      </c>
      <c r="H40" s="55" t="s">
        <v>110</v>
      </c>
      <c r="I40" s="54" t="s">
        <v>111</v>
      </c>
      <c r="J40" s="55" t="s">
        <v>112</v>
      </c>
      <c r="K40" s="56" t="s">
        <v>169</v>
      </c>
      <c r="N40"/>
      <c r="O40"/>
      <c r="P40"/>
      <c r="Q40"/>
      <c r="R40"/>
      <c r="S40"/>
      <c r="T40"/>
      <c r="U40"/>
      <c r="V40"/>
      <c r="W40"/>
    </row>
    <row r="41" spans="1:23" s="1" customFormat="1" x14ac:dyDescent="0.3">
      <c r="B41" s="13" t="s">
        <v>118</v>
      </c>
      <c r="C41" s="125"/>
      <c r="D41" s="125"/>
      <c r="E41" s="126"/>
      <c r="F41" s="127">
        <f>C41-D41+E41</f>
        <v>0</v>
      </c>
      <c r="G41" s="20">
        <f>IF($C$23="1st Estimate",'GA Rates'!AB4,IF($C$23="2nd Estimate",'GA Rates'!AC4,IF($C$23="Actual",'GA Rates'!AD4,0)))</f>
        <v>0</v>
      </c>
      <c r="H41" s="130">
        <f>F41*G41</f>
        <v>0</v>
      </c>
      <c r="I41" s="20">
        <f>'GA Rates'!AD4</f>
        <v>9.1789999999999997E-2</v>
      </c>
      <c r="J41" s="132">
        <f>F41*I41</f>
        <v>0</v>
      </c>
      <c r="K41" s="133">
        <f>J41-H41</f>
        <v>0</v>
      </c>
      <c r="N41"/>
      <c r="O41"/>
      <c r="P41"/>
      <c r="Q41"/>
      <c r="R41"/>
      <c r="S41"/>
      <c r="T41"/>
      <c r="U41"/>
      <c r="V41"/>
      <c r="W41"/>
    </row>
    <row r="42" spans="1:23" s="1" customFormat="1" x14ac:dyDescent="0.3">
      <c r="B42" s="13" t="s">
        <v>119</v>
      </c>
      <c r="C42" s="125"/>
      <c r="D42" s="125"/>
      <c r="E42" s="126"/>
      <c r="F42" s="127">
        <f t="shared" ref="F42:F52" si="0">C42-D42+E42</f>
        <v>0</v>
      </c>
      <c r="G42" s="20">
        <f>IF($C$23="1st Estimate",'GA Rates'!AB5,IF($C$23="2nd Estimate",'GA Rates'!AC5,IF($C$23="Actual",'GA Rates'!AD5,0)))</f>
        <v>0</v>
      </c>
      <c r="H42" s="130">
        <f t="shared" ref="H42:H52" si="1">F42*G42</f>
        <v>0</v>
      </c>
      <c r="I42" s="20">
        <f>'GA Rates'!AD5</f>
        <v>9.851E-2</v>
      </c>
      <c r="J42" s="132">
        <f t="shared" ref="J42:J52" si="2">F42*I42</f>
        <v>0</v>
      </c>
      <c r="K42" s="133">
        <f t="shared" ref="K42:K52" si="3">J42-H42</f>
        <v>0</v>
      </c>
      <c r="N42"/>
      <c r="O42"/>
      <c r="P42"/>
      <c r="Q42"/>
      <c r="R42"/>
      <c r="S42"/>
      <c r="T42"/>
      <c r="U42"/>
      <c r="V42"/>
      <c r="W42"/>
    </row>
    <row r="43" spans="1:23" s="1" customFormat="1" x14ac:dyDescent="0.3">
      <c r="B43" s="13" t="s">
        <v>120</v>
      </c>
      <c r="C43" s="125"/>
      <c r="D43" s="125"/>
      <c r="E43" s="126"/>
      <c r="F43" s="127">
        <f t="shared" si="0"/>
        <v>0</v>
      </c>
      <c r="G43" s="20">
        <f>IF($C$23="1st Estimate",'GA Rates'!AB6,IF($C$23="2nd Estimate",'GA Rates'!AC6,IF($C$23="Actual",'GA Rates'!AD6,0)))</f>
        <v>0</v>
      </c>
      <c r="H43" s="130">
        <f t="shared" si="1"/>
        <v>0</v>
      </c>
      <c r="I43" s="20">
        <f>'GA Rates'!AD6</f>
        <v>0.1061</v>
      </c>
      <c r="J43" s="132">
        <f t="shared" si="2"/>
        <v>0</v>
      </c>
      <c r="K43" s="133">
        <f t="shared" si="3"/>
        <v>0</v>
      </c>
      <c r="N43"/>
      <c r="O43"/>
      <c r="P43"/>
      <c r="Q43"/>
      <c r="R43"/>
      <c r="S43"/>
      <c r="T43"/>
      <c r="U43"/>
      <c r="V43"/>
      <c r="W43"/>
    </row>
    <row r="44" spans="1:23" s="1" customFormat="1" x14ac:dyDescent="0.3">
      <c r="B44" s="13" t="s">
        <v>121</v>
      </c>
      <c r="C44" s="125"/>
      <c r="D44" s="125"/>
      <c r="E44" s="126"/>
      <c r="F44" s="127">
        <f t="shared" si="0"/>
        <v>0</v>
      </c>
      <c r="G44" s="20">
        <f>IF($C$23="1st Estimate",'GA Rates'!AB7,IF($C$23="2nd Estimate",'GA Rates'!AC7,IF($C$23="Actual",'GA Rates'!AD7,0)))</f>
        <v>0</v>
      </c>
      <c r="H44" s="130">
        <f t="shared" si="1"/>
        <v>0</v>
      </c>
      <c r="I44" s="20">
        <f>'GA Rates'!AD7</f>
        <v>0.11132</v>
      </c>
      <c r="J44" s="132">
        <f t="shared" si="2"/>
        <v>0</v>
      </c>
      <c r="K44" s="133">
        <f t="shared" si="3"/>
        <v>0</v>
      </c>
      <c r="N44"/>
      <c r="O44"/>
      <c r="P44"/>
      <c r="Q44"/>
      <c r="R44"/>
      <c r="S44"/>
      <c r="T44"/>
      <c r="U44"/>
      <c r="V44"/>
      <c r="W44"/>
    </row>
    <row r="45" spans="1:23" s="1" customFormat="1" x14ac:dyDescent="0.3">
      <c r="B45" s="13" t="s">
        <v>122</v>
      </c>
      <c r="C45" s="125"/>
      <c r="D45" s="125"/>
      <c r="E45" s="126"/>
      <c r="F45" s="127">
        <f t="shared" si="0"/>
        <v>0</v>
      </c>
      <c r="G45" s="20">
        <f>IF($C$23="1st Estimate",'GA Rates'!AB8,IF($C$23="2nd Estimate",'GA Rates'!AC8,IF($C$23="Actual",'GA Rates'!AD8,0)))</f>
        <v>0</v>
      </c>
      <c r="H45" s="130">
        <f t="shared" si="1"/>
        <v>0</v>
      </c>
      <c r="I45" s="20">
        <f>'GA Rates'!AD8</f>
        <v>0.10749</v>
      </c>
      <c r="J45" s="132">
        <f t="shared" si="2"/>
        <v>0</v>
      </c>
      <c r="K45" s="133">
        <f t="shared" si="3"/>
        <v>0</v>
      </c>
      <c r="N45"/>
      <c r="O45"/>
      <c r="P45"/>
      <c r="Q45"/>
      <c r="R45"/>
      <c r="S45"/>
      <c r="T45"/>
      <c r="U45"/>
      <c r="V45"/>
      <c r="W45"/>
    </row>
    <row r="46" spans="1:23" s="1" customFormat="1" x14ac:dyDescent="0.3">
      <c r="B46" s="13" t="s">
        <v>123</v>
      </c>
      <c r="C46" s="125"/>
      <c r="D46" s="125"/>
      <c r="E46" s="126"/>
      <c r="F46" s="127">
        <f t="shared" si="0"/>
        <v>0</v>
      </c>
      <c r="G46" s="20">
        <f>IF($C$23="1st Estimate",'GA Rates'!AB9,IF($C$23="2nd Estimate",'GA Rates'!AC9,IF($C$23="Actual",'GA Rates'!AD9,0)))</f>
        <v>0</v>
      </c>
      <c r="H46" s="130">
        <f t="shared" si="1"/>
        <v>0</v>
      </c>
      <c r="I46" s="20">
        <f>'GA Rates'!AD9</f>
        <v>9.5449999999999993E-2</v>
      </c>
      <c r="J46" s="132">
        <f t="shared" si="2"/>
        <v>0</v>
      </c>
      <c r="K46" s="133">
        <f t="shared" si="3"/>
        <v>0</v>
      </c>
      <c r="N46"/>
      <c r="O46"/>
      <c r="P46"/>
      <c r="Q46"/>
      <c r="R46"/>
      <c r="S46"/>
      <c r="T46"/>
      <c r="U46"/>
      <c r="V46"/>
      <c r="W46"/>
    </row>
    <row r="47" spans="1:23" s="1" customFormat="1" x14ac:dyDescent="0.3">
      <c r="B47" s="13" t="s">
        <v>124</v>
      </c>
      <c r="C47" s="126"/>
      <c r="D47" s="125"/>
      <c r="E47" s="126"/>
      <c r="F47" s="127">
        <f t="shared" si="0"/>
        <v>0</v>
      </c>
      <c r="G47" s="20">
        <f>IF($C$23="1st Estimate",'GA Rates'!AB10,IF($C$23="2nd Estimate",'GA Rates'!AC10,IF($C$23="Actual",'GA Rates'!AD10,0)))</f>
        <v>0</v>
      </c>
      <c r="H47" s="130">
        <f t="shared" si="1"/>
        <v>0</v>
      </c>
      <c r="I47" s="20">
        <f>'GA Rates'!AD10</f>
        <v>8.3059999999999995E-2</v>
      </c>
      <c r="J47" s="132">
        <f t="shared" si="2"/>
        <v>0</v>
      </c>
      <c r="K47" s="133">
        <f t="shared" si="3"/>
        <v>0</v>
      </c>
      <c r="N47"/>
      <c r="O47"/>
      <c r="P47"/>
      <c r="Q47"/>
      <c r="R47"/>
      <c r="S47"/>
      <c r="T47"/>
      <c r="U47"/>
      <c r="V47"/>
      <c r="W47"/>
    </row>
    <row r="48" spans="1:23" s="1" customFormat="1" x14ac:dyDescent="0.3">
      <c r="B48" s="13" t="s">
        <v>125</v>
      </c>
      <c r="C48" s="126"/>
      <c r="D48" s="125"/>
      <c r="E48" s="126"/>
      <c r="F48" s="127">
        <f t="shared" si="0"/>
        <v>0</v>
      </c>
      <c r="G48" s="20">
        <f>IF($C$23="1st Estimate",'GA Rates'!AB11,IF($C$23="2nd Estimate",'GA Rates'!AC11,IF($C$23="Actual",'GA Rates'!AD11,0)))</f>
        <v>0</v>
      </c>
      <c r="H48" s="130">
        <f t="shared" si="1"/>
        <v>0</v>
      </c>
      <c r="I48" s="20">
        <f>'GA Rates'!AD11</f>
        <v>7.1029999999999996E-2</v>
      </c>
      <c r="J48" s="132">
        <f t="shared" si="2"/>
        <v>0</v>
      </c>
      <c r="K48" s="133">
        <f t="shared" si="3"/>
        <v>0</v>
      </c>
      <c r="N48"/>
      <c r="O48"/>
      <c r="P48"/>
      <c r="Q48"/>
      <c r="R48"/>
      <c r="S48"/>
      <c r="T48"/>
      <c r="U48"/>
      <c r="V48"/>
      <c r="W48"/>
    </row>
    <row r="49" spans="2:23" s="1" customFormat="1" x14ac:dyDescent="0.3">
      <c r="B49" s="13" t="s">
        <v>126</v>
      </c>
      <c r="C49" s="126"/>
      <c r="D49" s="125"/>
      <c r="E49" s="126"/>
      <c r="F49" s="127">
        <f t="shared" si="0"/>
        <v>0</v>
      </c>
      <c r="G49" s="20">
        <f>IF($C$23="1st Estimate",'GA Rates'!AB12,IF($C$23="2nd Estimate",'GA Rates'!AC12,IF($C$23="Actual",'GA Rates'!AD12,0)))</f>
        <v>0</v>
      </c>
      <c r="H49" s="130">
        <f t="shared" si="1"/>
        <v>0</v>
      </c>
      <c r="I49" s="20">
        <f>'GA Rates'!AD12</f>
        <v>9.5310000000000006E-2</v>
      </c>
      <c r="J49" s="132">
        <f t="shared" si="2"/>
        <v>0</v>
      </c>
      <c r="K49" s="133">
        <f t="shared" si="3"/>
        <v>0</v>
      </c>
      <c r="N49"/>
      <c r="O49"/>
      <c r="P49"/>
      <c r="Q49"/>
      <c r="R49"/>
      <c r="S49"/>
      <c r="T49"/>
      <c r="U49"/>
      <c r="V49"/>
      <c r="W49"/>
    </row>
    <row r="50" spans="2:23" s="1" customFormat="1" x14ac:dyDescent="0.3">
      <c r="B50" s="13" t="s">
        <v>127</v>
      </c>
      <c r="C50" s="126"/>
      <c r="D50" s="125"/>
      <c r="E50" s="126"/>
      <c r="F50" s="127">
        <f t="shared" si="0"/>
        <v>0</v>
      </c>
      <c r="G50" s="20">
        <f>IF($C$23="1st Estimate",'GA Rates'!AB13,IF($C$23="2nd Estimate",'GA Rates'!AC13,IF($C$23="Actual",'GA Rates'!AD13,0)))</f>
        <v>0</v>
      </c>
      <c r="H50" s="130">
        <f t="shared" si="1"/>
        <v>0</v>
      </c>
      <c r="I50" s="20">
        <f>'GA Rates'!AD13</f>
        <v>0.11226</v>
      </c>
      <c r="J50" s="132">
        <f t="shared" si="2"/>
        <v>0</v>
      </c>
      <c r="K50" s="133">
        <f t="shared" si="3"/>
        <v>0</v>
      </c>
      <c r="N50"/>
      <c r="O50"/>
      <c r="P50"/>
      <c r="Q50"/>
      <c r="R50"/>
      <c r="S50"/>
      <c r="T50"/>
      <c r="U50"/>
      <c r="V50"/>
      <c r="W50"/>
    </row>
    <row r="51" spans="2:23" s="1" customFormat="1" x14ac:dyDescent="0.3">
      <c r="B51" s="13" t="s">
        <v>128</v>
      </c>
      <c r="C51" s="126"/>
      <c r="D51" s="125"/>
      <c r="E51" s="126"/>
      <c r="F51" s="127">
        <f t="shared" si="0"/>
        <v>0</v>
      </c>
      <c r="G51" s="20">
        <f>IF($C$23="1st Estimate",'GA Rates'!AB14,IF($C$23="2nd Estimate",'GA Rates'!AC14,IF($C$23="Actual",'GA Rates'!AD14,0)))</f>
        <v>0</v>
      </c>
      <c r="H51" s="130">
        <f t="shared" si="1"/>
        <v>0</v>
      </c>
      <c r="I51" s="20">
        <f>'GA Rates'!AD14</f>
        <v>0.11108999999999999</v>
      </c>
      <c r="J51" s="132">
        <f t="shared" si="2"/>
        <v>0</v>
      </c>
      <c r="K51" s="133">
        <f t="shared" si="3"/>
        <v>0</v>
      </c>
      <c r="N51"/>
      <c r="O51"/>
      <c r="P51"/>
      <c r="Q51"/>
      <c r="R51"/>
      <c r="S51"/>
      <c r="T51"/>
      <c r="U51"/>
      <c r="V51"/>
      <c r="W51"/>
    </row>
    <row r="52" spans="2:23" s="1" customFormat="1" x14ac:dyDescent="0.3">
      <c r="B52" s="13" t="s">
        <v>129</v>
      </c>
      <c r="C52" s="128"/>
      <c r="D52" s="125"/>
      <c r="E52" s="126"/>
      <c r="F52" s="127">
        <f t="shared" si="0"/>
        <v>0</v>
      </c>
      <c r="G52" s="20">
        <f>IF($C$23="1st Estimate",'GA Rates'!AB15,IF($C$23="2nd Estimate",'GA Rates'!AC15,IF($C$23="Actual",'GA Rates'!AD15,0)))</f>
        <v>0</v>
      </c>
      <c r="H52" s="130">
        <f t="shared" si="1"/>
        <v>0</v>
      </c>
      <c r="I52" s="20">
        <f>'GA Rates'!AD15</f>
        <v>8.7080000000000005E-2</v>
      </c>
      <c r="J52" s="132">
        <f t="shared" si="2"/>
        <v>0</v>
      </c>
      <c r="K52" s="133">
        <f t="shared" si="3"/>
        <v>0</v>
      </c>
      <c r="N52"/>
      <c r="O52"/>
      <c r="P52"/>
      <c r="Q52"/>
      <c r="R52"/>
      <c r="S52"/>
      <c r="T52"/>
      <c r="U52"/>
      <c r="V52"/>
      <c r="W52"/>
    </row>
    <row r="53" spans="2:23" s="1" customFormat="1" ht="28.8" thickBot="1" x14ac:dyDescent="0.35">
      <c r="B53" s="102" t="s">
        <v>130</v>
      </c>
      <c r="C53" s="129">
        <f>SUM(C41:C52)</f>
        <v>0</v>
      </c>
      <c r="D53" s="129">
        <f>SUM(D41:D52)</f>
        <v>0</v>
      </c>
      <c r="E53" s="129">
        <f>SUM(E41:E52)</f>
        <v>0</v>
      </c>
      <c r="F53" s="129">
        <f>SUM(F41:F52)</f>
        <v>0</v>
      </c>
      <c r="G53" s="33"/>
      <c r="H53" s="131">
        <f>SUM(H41:H52)</f>
        <v>0</v>
      </c>
      <c r="I53" s="33"/>
      <c r="J53" s="131">
        <f>SUM(J41:J52)</f>
        <v>0</v>
      </c>
      <c r="K53" s="134">
        <f>SUM(K41:K52)</f>
        <v>0</v>
      </c>
      <c r="N53"/>
      <c r="O53"/>
      <c r="P53"/>
      <c r="Q53"/>
      <c r="R53"/>
      <c r="S53"/>
      <c r="T53"/>
      <c r="U53"/>
      <c r="V53"/>
      <c r="W53"/>
    </row>
    <row r="54" spans="2:23" s="1" customFormat="1" ht="15" thickBot="1" x14ac:dyDescent="0.35">
      <c r="B54" s="62"/>
      <c r="C54" s="177"/>
      <c r="D54" s="177"/>
      <c r="E54" s="177"/>
      <c r="F54" s="177"/>
      <c r="G54" s="2"/>
      <c r="H54" s="178"/>
      <c r="I54" s="2"/>
      <c r="J54" s="178"/>
      <c r="K54" s="178"/>
      <c r="N54"/>
      <c r="O54"/>
      <c r="P54"/>
      <c r="Q54"/>
      <c r="R54"/>
      <c r="S54"/>
      <c r="T54"/>
      <c r="U54"/>
      <c r="V54"/>
      <c r="W54"/>
    </row>
    <row r="55" spans="2:23" s="1" customFormat="1" ht="55.8" x14ac:dyDescent="0.3">
      <c r="B55" s="62"/>
      <c r="C55" s="177"/>
      <c r="D55" s="177"/>
      <c r="E55" s="177"/>
      <c r="F55" s="177"/>
      <c r="G55" s="182" t="s">
        <v>170</v>
      </c>
      <c r="H55" s="183" t="s">
        <v>171</v>
      </c>
      <c r="I55" s="54" t="s">
        <v>172</v>
      </c>
      <c r="J55" s="184" t="s">
        <v>173</v>
      </c>
      <c r="K55" s="185" t="s">
        <v>174</v>
      </c>
      <c r="N55"/>
      <c r="O55"/>
      <c r="P55"/>
      <c r="Q55"/>
      <c r="R55"/>
      <c r="S55"/>
      <c r="T55"/>
      <c r="U55"/>
      <c r="V55"/>
      <c r="W55"/>
    </row>
    <row r="56" spans="2:23" s="1" customFormat="1" ht="13.8" x14ac:dyDescent="0.25">
      <c r="G56" s="186" t="s">
        <v>175</v>
      </c>
      <c r="H56" s="187" t="s">
        <v>176</v>
      </c>
      <c r="I56" s="188" t="s">
        <v>177</v>
      </c>
      <c r="J56" s="189" t="s">
        <v>178</v>
      </c>
      <c r="K56" s="190" t="s">
        <v>179</v>
      </c>
      <c r="O56" s="29"/>
      <c r="P56" s="29"/>
      <c r="Q56" s="29"/>
      <c r="R56" s="29"/>
      <c r="S56" s="29"/>
      <c r="T56" s="29"/>
      <c r="U56" s="29"/>
      <c r="V56" s="29"/>
      <c r="W56" s="29"/>
    </row>
    <row r="57" spans="2:23" s="1" customFormat="1" thickBot="1" x14ac:dyDescent="0.3">
      <c r="G57" s="261"/>
      <c r="H57" s="221">
        <f>F53</f>
        <v>0</v>
      </c>
      <c r="I57" s="221">
        <f>G57-H57</f>
        <v>0</v>
      </c>
      <c r="J57" s="264"/>
      <c r="K57" s="220">
        <f>I57*J57</f>
        <v>0</v>
      </c>
      <c r="O57" s="29"/>
      <c r="P57" s="29"/>
      <c r="Q57" s="29"/>
      <c r="R57" s="29"/>
      <c r="S57" s="29"/>
      <c r="T57" s="29"/>
      <c r="U57" s="29"/>
      <c r="V57" s="29"/>
      <c r="W57" s="29"/>
    </row>
    <row r="58" spans="2:23" s="1" customFormat="1" ht="27.6" customHeight="1" x14ac:dyDescent="0.25">
      <c r="G58" s="335" t="s">
        <v>180</v>
      </c>
      <c r="H58" s="335"/>
      <c r="I58" s="335"/>
      <c r="J58" s="335"/>
      <c r="K58" s="335"/>
      <c r="O58" s="29"/>
      <c r="P58" s="29"/>
      <c r="Q58" s="29"/>
      <c r="R58" s="29"/>
      <c r="S58" s="29"/>
      <c r="T58" s="29"/>
      <c r="U58" s="29"/>
      <c r="V58" s="29"/>
      <c r="W58" s="29"/>
    </row>
    <row r="59" spans="2:23" s="1" customFormat="1" ht="55.2" customHeight="1" thickBot="1" x14ac:dyDescent="0.3">
      <c r="G59" s="334" t="s">
        <v>181</v>
      </c>
      <c r="H59" s="334"/>
      <c r="I59" s="334"/>
      <c r="J59" s="334"/>
      <c r="K59" s="334"/>
      <c r="O59" s="29"/>
      <c r="P59" s="29"/>
      <c r="Q59" s="29"/>
      <c r="R59" s="29"/>
      <c r="S59" s="29"/>
      <c r="T59" s="29"/>
      <c r="U59" s="29"/>
      <c r="V59" s="29"/>
      <c r="W59" s="29"/>
    </row>
    <row r="60" spans="2:23" s="1" customFormat="1" thickBot="1" x14ac:dyDescent="0.3">
      <c r="G60" s="179"/>
      <c r="H60" s="180"/>
      <c r="I60" s="181"/>
      <c r="J60" s="191" t="s">
        <v>182</v>
      </c>
      <c r="K60" s="192">
        <f>K53+K57</f>
        <v>0</v>
      </c>
      <c r="O60" s="29"/>
      <c r="P60" s="29"/>
      <c r="Q60" s="29"/>
      <c r="R60" s="29"/>
      <c r="S60" s="29"/>
      <c r="T60" s="29"/>
      <c r="U60" s="29"/>
      <c r="V60" s="29"/>
      <c r="W60" s="29"/>
    </row>
    <row r="61" spans="2:23" s="1" customFormat="1" ht="41.4" customHeight="1" x14ac:dyDescent="0.25">
      <c r="H61" s="317" t="s">
        <v>183</v>
      </c>
      <c r="I61" s="317"/>
      <c r="J61" s="317"/>
      <c r="K61" s="238">
        <f>IFERROR(F53/D18,0)</f>
        <v>0</v>
      </c>
      <c r="O61" s="29"/>
      <c r="P61" s="29"/>
      <c r="Q61" s="29"/>
      <c r="R61" s="29"/>
      <c r="S61" s="29"/>
      <c r="T61" s="29"/>
      <c r="U61" s="29"/>
      <c r="V61" s="29"/>
      <c r="W61" s="29"/>
    </row>
    <row r="62" spans="2:23" s="1" customFormat="1" ht="30" customHeight="1" x14ac:dyDescent="0.25">
      <c r="H62" s="317" t="s">
        <v>184</v>
      </c>
      <c r="I62" s="317"/>
      <c r="J62" s="317"/>
      <c r="K62" s="237"/>
      <c r="O62" s="29"/>
      <c r="P62" s="29"/>
      <c r="Q62" s="29"/>
      <c r="R62" s="29"/>
      <c r="S62" s="29"/>
      <c r="T62" s="29"/>
      <c r="U62" s="29"/>
      <c r="V62" s="29"/>
      <c r="W62" s="29"/>
    </row>
    <row r="63" spans="2:23" s="1" customFormat="1" ht="13.8" x14ac:dyDescent="0.25">
      <c r="H63" s="317" t="s">
        <v>185</v>
      </c>
      <c r="I63" s="317"/>
      <c r="J63" s="317"/>
      <c r="K63" s="236">
        <f>K61-K62</f>
        <v>0</v>
      </c>
      <c r="O63" s="29"/>
      <c r="P63" s="29"/>
      <c r="Q63" s="29"/>
      <c r="R63" s="29"/>
      <c r="S63" s="29"/>
      <c r="T63" s="29"/>
      <c r="U63" s="29"/>
      <c r="V63" s="29"/>
      <c r="W63" s="29"/>
    </row>
    <row r="64" spans="2:23" s="1" customFormat="1" ht="27" customHeight="1" thickBot="1" x14ac:dyDescent="0.3">
      <c r="B64" s="333" t="s">
        <v>186</v>
      </c>
      <c r="C64" s="333"/>
      <c r="D64" s="333"/>
      <c r="H64" s="149"/>
      <c r="I64" s="149"/>
      <c r="J64" s="149"/>
      <c r="K64" s="111"/>
      <c r="O64" s="29"/>
      <c r="P64" s="29"/>
      <c r="Q64" s="29"/>
      <c r="R64" s="29"/>
      <c r="S64" s="29"/>
      <c r="T64" s="29"/>
      <c r="U64" s="29"/>
      <c r="V64" s="29"/>
      <c r="W64" s="29"/>
    </row>
    <row r="65" spans="1:23" s="1" customFormat="1" thickBot="1" x14ac:dyDescent="0.3">
      <c r="B65" s="324"/>
      <c r="C65" s="325"/>
      <c r="D65" s="326"/>
      <c r="E65" s="161"/>
      <c r="F65" s="2" t="s">
        <v>187</v>
      </c>
      <c r="H65" s="149"/>
      <c r="I65" s="149"/>
      <c r="J65" s="149"/>
      <c r="K65" s="111"/>
      <c r="O65" s="29"/>
      <c r="P65" s="29"/>
      <c r="Q65" s="29"/>
      <c r="R65" s="29"/>
      <c r="S65" s="29"/>
      <c r="T65" s="29"/>
      <c r="U65" s="29"/>
      <c r="V65" s="29"/>
      <c r="W65" s="29"/>
    </row>
    <row r="66" spans="1:23" s="1" customFormat="1" ht="15" customHeight="1" x14ac:dyDescent="0.25">
      <c r="B66" s="327"/>
      <c r="C66" s="328"/>
      <c r="D66" s="329"/>
      <c r="E66" s="161"/>
      <c r="F66" s="324"/>
      <c r="G66" s="325"/>
      <c r="H66" s="325"/>
      <c r="I66" s="325"/>
      <c r="J66" s="325"/>
      <c r="K66" s="326"/>
      <c r="O66" s="29"/>
      <c r="P66" s="29"/>
      <c r="Q66" s="29"/>
      <c r="R66" s="29"/>
      <c r="S66" s="29"/>
      <c r="T66" s="29"/>
      <c r="U66" s="29"/>
      <c r="V66" s="29"/>
      <c r="W66" s="29"/>
    </row>
    <row r="67" spans="1:23" s="1" customFormat="1" ht="15" customHeight="1" x14ac:dyDescent="0.25">
      <c r="B67" s="327"/>
      <c r="C67" s="328"/>
      <c r="D67" s="329"/>
      <c r="E67" s="161"/>
      <c r="F67" s="327"/>
      <c r="G67" s="328"/>
      <c r="H67" s="328"/>
      <c r="I67" s="328"/>
      <c r="J67" s="328"/>
      <c r="K67" s="329"/>
      <c r="O67" s="29"/>
      <c r="P67" s="29"/>
      <c r="Q67" s="29"/>
      <c r="R67" s="29"/>
      <c r="S67" s="29"/>
      <c r="T67" s="29"/>
      <c r="U67" s="29"/>
      <c r="V67" s="29"/>
      <c r="W67" s="29"/>
    </row>
    <row r="68" spans="1:23" s="1" customFormat="1" ht="15" customHeight="1" x14ac:dyDescent="0.25">
      <c r="B68" s="327"/>
      <c r="C68" s="328"/>
      <c r="D68" s="329"/>
      <c r="E68" s="161"/>
      <c r="F68" s="327"/>
      <c r="G68" s="328"/>
      <c r="H68" s="328"/>
      <c r="I68" s="328"/>
      <c r="J68" s="328"/>
      <c r="K68" s="329"/>
      <c r="O68" s="29"/>
      <c r="P68" s="29"/>
      <c r="Q68" s="29"/>
      <c r="R68" s="29"/>
      <c r="S68" s="29"/>
      <c r="T68" s="29"/>
      <c r="U68" s="29"/>
      <c r="V68" s="29"/>
      <c r="W68" s="29"/>
    </row>
    <row r="69" spans="1:23" s="1" customFormat="1" ht="15" customHeight="1" x14ac:dyDescent="0.25">
      <c r="B69" s="327"/>
      <c r="C69" s="328"/>
      <c r="D69" s="329"/>
      <c r="E69" s="161"/>
      <c r="F69" s="327"/>
      <c r="G69" s="328"/>
      <c r="H69" s="328"/>
      <c r="I69" s="328"/>
      <c r="J69" s="328"/>
      <c r="K69" s="329"/>
      <c r="O69" s="29"/>
      <c r="P69" s="29"/>
      <c r="Q69" s="29"/>
      <c r="R69" s="29"/>
      <c r="S69" s="29"/>
      <c r="T69" s="29"/>
      <c r="U69" s="29"/>
      <c r="V69" s="29"/>
      <c r="W69" s="29"/>
    </row>
    <row r="70" spans="1:23" s="1" customFormat="1" ht="15" customHeight="1" x14ac:dyDescent="0.25">
      <c r="B70" s="327"/>
      <c r="C70" s="328"/>
      <c r="D70" s="329"/>
      <c r="E70" s="161"/>
      <c r="F70" s="327"/>
      <c r="G70" s="328"/>
      <c r="H70" s="328"/>
      <c r="I70" s="328"/>
      <c r="J70" s="328"/>
      <c r="K70" s="329"/>
      <c r="O70" s="29"/>
      <c r="P70" s="29"/>
      <c r="Q70" s="29"/>
      <c r="R70" s="29"/>
      <c r="S70" s="29"/>
      <c r="T70" s="29"/>
      <c r="U70" s="29"/>
      <c r="V70" s="29"/>
      <c r="W70" s="29"/>
    </row>
    <row r="71" spans="1:23" s="1" customFormat="1" ht="15.75" customHeight="1" thickBot="1" x14ac:dyDescent="0.3">
      <c r="B71" s="330"/>
      <c r="C71" s="331"/>
      <c r="D71" s="332"/>
      <c r="E71" s="161"/>
      <c r="F71" s="330"/>
      <c r="G71" s="331"/>
      <c r="H71" s="331"/>
      <c r="I71" s="331"/>
      <c r="J71" s="331"/>
      <c r="K71" s="332"/>
      <c r="O71" s="29"/>
      <c r="P71" s="29"/>
      <c r="Q71" s="29"/>
      <c r="R71" s="29"/>
      <c r="S71" s="29"/>
      <c r="T71" s="29"/>
      <c r="U71" s="29"/>
      <c r="V71" s="29"/>
      <c r="W71" s="29"/>
    </row>
    <row r="72" spans="1:23" s="1" customFormat="1" ht="37.200000000000003" customHeight="1" x14ac:dyDescent="0.25">
      <c r="A72" s="1" t="s">
        <v>131</v>
      </c>
      <c r="B72" s="37" t="s">
        <v>132</v>
      </c>
      <c r="C72" s="2"/>
      <c r="K72" s="91"/>
      <c r="O72" s="29"/>
      <c r="P72" s="29"/>
      <c r="Q72" s="29"/>
      <c r="R72" s="29"/>
      <c r="S72" s="29"/>
      <c r="T72" s="29"/>
      <c r="U72" s="29"/>
      <c r="V72" s="29"/>
      <c r="W72" s="29"/>
    </row>
    <row r="73" spans="1:23" s="1" customFormat="1" ht="13.8" x14ac:dyDescent="0.25">
      <c r="B73" s="3"/>
      <c r="C73" s="2"/>
      <c r="K73" s="99"/>
    </row>
    <row r="74" spans="1:23" s="1" customFormat="1" ht="15" customHeight="1" x14ac:dyDescent="0.25">
      <c r="A74" s="11"/>
      <c r="B74" s="78" t="s">
        <v>133</v>
      </c>
      <c r="C74" s="113" t="s">
        <v>188</v>
      </c>
      <c r="D74" s="307" t="s">
        <v>136</v>
      </c>
      <c r="E74" s="307"/>
      <c r="F74" s="307"/>
      <c r="G74" s="307"/>
      <c r="H74" s="307"/>
      <c r="I74" s="322" t="s">
        <v>189</v>
      </c>
      <c r="J74" s="322"/>
      <c r="K74" s="322"/>
    </row>
    <row r="75" spans="1:23" s="1" customFormat="1" ht="54.6" customHeight="1" x14ac:dyDescent="0.25">
      <c r="A75" s="336" t="s">
        <v>137</v>
      </c>
      <c r="B75" s="337"/>
      <c r="C75" s="135"/>
      <c r="D75" s="298"/>
      <c r="E75" s="299"/>
      <c r="F75" s="299"/>
      <c r="G75" s="299"/>
      <c r="H75" s="300"/>
      <c r="I75" s="118" t="s">
        <v>190</v>
      </c>
      <c r="J75" s="323" t="s">
        <v>191</v>
      </c>
      <c r="K75" s="323"/>
    </row>
    <row r="76" spans="1:23" s="1" customFormat="1" ht="27.6" x14ac:dyDescent="0.25">
      <c r="A76" s="60" t="s">
        <v>138</v>
      </c>
      <c r="B76" s="39" t="s">
        <v>192</v>
      </c>
      <c r="C76" s="135"/>
      <c r="D76" s="318"/>
      <c r="E76" s="318"/>
      <c r="F76" s="318"/>
      <c r="G76" s="318"/>
      <c r="H76" s="318"/>
      <c r="I76" s="115"/>
      <c r="J76" s="314"/>
      <c r="K76" s="314"/>
    </row>
    <row r="77" spans="1:23" s="1" customFormat="1" ht="27.6" x14ac:dyDescent="0.25">
      <c r="A77" s="60" t="s">
        <v>140</v>
      </c>
      <c r="B77" s="39" t="s">
        <v>193</v>
      </c>
      <c r="C77" s="135"/>
      <c r="D77" s="319"/>
      <c r="E77" s="320"/>
      <c r="F77" s="320"/>
      <c r="G77" s="320"/>
      <c r="H77" s="321"/>
      <c r="I77" s="115"/>
      <c r="J77" s="314"/>
      <c r="K77" s="314"/>
      <c r="L77" s="4"/>
      <c r="M77" s="4"/>
      <c r="N77" s="4"/>
      <c r="O77" s="4"/>
    </row>
    <row r="78" spans="1:23" s="1" customFormat="1" ht="27.6" x14ac:dyDescent="0.25">
      <c r="A78" s="60" t="s">
        <v>142</v>
      </c>
      <c r="B78" s="39" t="s">
        <v>143</v>
      </c>
      <c r="C78" s="135"/>
      <c r="D78" s="318"/>
      <c r="E78" s="318"/>
      <c r="F78" s="318"/>
      <c r="G78" s="318"/>
      <c r="H78" s="318"/>
      <c r="I78" s="115"/>
      <c r="J78" s="314"/>
      <c r="K78" s="314"/>
      <c r="L78" s="4"/>
      <c r="M78" s="4"/>
      <c r="N78" s="4"/>
      <c r="O78" s="4"/>
    </row>
    <row r="79" spans="1:23" s="1" customFormat="1" ht="27.6" x14ac:dyDescent="0.25">
      <c r="A79" s="60" t="s">
        <v>144</v>
      </c>
      <c r="B79" s="39" t="s">
        <v>145</v>
      </c>
      <c r="C79" s="135"/>
      <c r="D79" s="319"/>
      <c r="E79" s="320"/>
      <c r="F79" s="320"/>
      <c r="G79" s="320"/>
      <c r="H79" s="321"/>
      <c r="I79" s="115"/>
      <c r="J79" s="314"/>
      <c r="K79" s="314"/>
      <c r="L79" s="4"/>
      <c r="M79" s="4"/>
      <c r="N79" s="4"/>
      <c r="O79" s="4"/>
    </row>
    <row r="80" spans="1:23" s="1" customFormat="1" ht="27.6" x14ac:dyDescent="0.25">
      <c r="A80" s="60" t="s">
        <v>146</v>
      </c>
      <c r="B80" s="39" t="s">
        <v>194</v>
      </c>
      <c r="C80" s="135"/>
      <c r="D80" s="318"/>
      <c r="E80" s="318"/>
      <c r="F80" s="318"/>
      <c r="G80" s="318"/>
      <c r="H80" s="318"/>
      <c r="I80" s="115"/>
      <c r="J80" s="314"/>
      <c r="K80" s="314"/>
      <c r="L80" s="4"/>
      <c r="M80" s="4"/>
      <c r="N80" s="4"/>
      <c r="O80" s="4"/>
    </row>
    <row r="81" spans="1:15" s="1" customFormat="1" ht="27.6" x14ac:dyDescent="0.25">
      <c r="A81" s="60" t="s">
        <v>148</v>
      </c>
      <c r="B81" s="39" t="s">
        <v>195</v>
      </c>
      <c r="C81" s="135"/>
      <c r="D81" s="318"/>
      <c r="E81" s="318"/>
      <c r="F81" s="318"/>
      <c r="G81" s="318"/>
      <c r="H81" s="318"/>
      <c r="I81" s="115"/>
      <c r="J81" s="314"/>
      <c r="K81" s="314"/>
      <c r="L81" s="4"/>
      <c r="M81" s="4"/>
      <c r="N81" s="4"/>
      <c r="O81" s="4"/>
    </row>
    <row r="82" spans="1:15" s="1" customFormat="1" ht="33.75" customHeight="1" x14ac:dyDescent="0.25">
      <c r="A82" s="60">
        <v>4</v>
      </c>
      <c r="B82" s="39" t="s">
        <v>150</v>
      </c>
      <c r="C82" s="135"/>
      <c r="D82" s="318"/>
      <c r="E82" s="318"/>
      <c r="F82" s="318"/>
      <c r="G82" s="318"/>
      <c r="H82" s="318"/>
      <c r="I82" s="115"/>
      <c r="J82" s="314"/>
      <c r="K82" s="314"/>
      <c r="L82" s="4"/>
      <c r="M82" s="4"/>
      <c r="N82" s="4"/>
      <c r="O82" s="4"/>
    </row>
    <row r="83" spans="1:15" s="1" customFormat="1" ht="27.6" x14ac:dyDescent="0.25">
      <c r="A83" s="60" t="s">
        <v>196</v>
      </c>
      <c r="B83" s="39" t="s">
        <v>197</v>
      </c>
      <c r="C83" s="135"/>
      <c r="D83" s="318"/>
      <c r="E83" s="318"/>
      <c r="F83" s="318"/>
      <c r="G83" s="318"/>
      <c r="H83" s="318"/>
      <c r="I83" s="115"/>
      <c r="J83" s="314"/>
      <c r="K83" s="314"/>
      <c r="L83" s="4"/>
      <c r="M83" s="4"/>
      <c r="N83" s="4"/>
      <c r="O83" s="4"/>
    </row>
    <row r="84" spans="1:15" s="1" customFormat="1" ht="27.6" x14ac:dyDescent="0.25">
      <c r="A84" s="44" t="s">
        <v>198</v>
      </c>
      <c r="B84" s="103" t="s">
        <v>199</v>
      </c>
      <c r="C84" s="135"/>
      <c r="D84" s="318"/>
      <c r="E84" s="318"/>
      <c r="F84" s="318"/>
      <c r="G84" s="318"/>
      <c r="H84" s="318"/>
      <c r="I84" s="115"/>
      <c r="J84" s="314"/>
      <c r="K84" s="314"/>
    </row>
    <row r="85" spans="1:15" s="1" customFormat="1" ht="27.6" x14ac:dyDescent="0.25">
      <c r="A85" s="44">
        <v>6</v>
      </c>
      <c r="B85" s="112" t="s">
        <v>152</v>
      </c>
      <c r="C85" s="135"/>
      <c r="D85" s="318"/>
      <c r="E85" s="318"/>
      <c r="F85" s="318"/>
      <c r="G85" s="318"/>
      <c r="H85" s="318"/>
      <c r="I85" s="115"/>
      <c r="J85" s="314"/>
      <c r="K85" s="314"/>
    </row>
    <row r="86" spans="1:15" s="1" customFormat="1" ht="13.8" x14ac:dyDescent="0.25">
      <c r="A86" s="44">
        <v>7</v>
      </c>
      <c r="B86" s="116"/>
      <c r="C86" s="135"/>
      <c r="D86" s="318"/>
      <c r="E86" s="318"/>
      <c r="F86" s="318"/>
      <c r="G86" s="318"/>
      <c r="H86" s="318"/>
      <c r="I86" s="115"/>
      <c r="J86" s="314"/>
      <c r="K86" s="314"/>
    </row>
    <row r="87" spans="1:15" s="1" customFormat="1" ht="13.8" x14ac:dyDescent="0.25">
      <c r="A87" s="44">
        <v>8</v>
      </c>
      <c r="B87" s="116"/>
      <c r="C87" s="135"/>
      <c r="D87" s="319"/>
      <c r="E87" s="320"/>
      <c r="F87" s="320"/>
      <c r="G87" s="320"/>
      <c r="H87" s="321"/>
      <c r="I87" s="115"/>
      <c r="J87" s="314"/>
      <c r="K87" s="314"/>
    </row>
    <row r="88" spans="1:15" s="1" customFormat="1" ht="13.8" x14ac:dyDescent="0.25">
      <c r="A88" s="44">
        <v>9</v>
      </c>
      <c r="B88" s="116"/>
      <c r="C88" s="135"/>
      <c r="D88" s="318"/>
      <c r="E88" s="318"/>
      <c r="F88" s="318"/>
      <c r="G88" s="318"/>
      <c r="H88" s="318"/>
      <c r="I88" s="115"/>
      <c r="J88" s="314"/>
      <c r="K88" s="314"/>
    </row>
    <row r="89" spans="1:15" s="1" customFormat="1" ht="13.8" x14ac:dyDescent="0.25">
      <c r="A89" s="44">
        <v>10</v>
      </c>
      <c r="B89" s="116"/>
      <c r="C89" s="135"/>
      <c r="D89" s="318"/>
      <c r="E89" s="318"/>
      <c r="F89" s="318"/>
      <c r="G89" s="318"/>
      <c r="H89" s="318"/>
      <c r="I89" s="115"/>
      <c r="J89" s="314"/>
      <c r="K89" s="314"/>
    </row>
    <row r="90" spans="1:15" s="1" customFormat="1" ht="13.8" x14ac:dyDescent="0.25">
      <c r="A90" s="1" t="s">
        <v>153</v>
      </c>
      <c r="B90" s="9" t="s">
        <v>154</v>
      </c>
      <c r="C90" s="136">
        <f>SUM(C75:C89)</f>
        <v>0</v>
      </c>
      <c r="D90" s="25"/>
      <c r="E90" s="25"/>
      <c r="F90" s="25"/>
      <c r="G90" s="25"/>
    </row>
    <row r="91" spans="1:15" s="1" customFormat="1" ht="27.6" x14ac:dyDescent="0.25">
      <c r="B91" s="62" t="s">
        <v>155</v>
      </c>
      <c r="C91" s="137">
        <f>K60</f>
        <v>0</v>
      </c>
      <c r="D91" s="25"/>
      <c r="E91" s="25"/>
      <c r="F91" s="25"/>
      <c r="G91" s="25"/>
    </row>
    <row r="92" spans="1:15" s="1" customFormat="1" ht="13.8" x14ac:dyDescent="0.25">
      <c r="B92" s="62" t="s">
        <v>156</v>
      </c>
      <c r="C92" s="138">
        <f>C90-C91</f>
        <v>0</v>
      </c>
    </row>
    <row r="93" spans="1:15" s="1" customFormat="1" ht="28.2" thickBot="1" x14ac:dyDescent="0.3">
      <c r="B93" s="62" t="s">
        <v>157</v>
      </c>
      <c r="C93" s="51">
        <f>IF(ISERROR(C92/J53),0,C92/J53)</f>
        <v>0</v>
      </c>
      <c r="D93" s="80" t="str">
        <f>IF(AND(C93&lt;0.01,C93&gt;-0.01),"","Unresolved differences of greater than + or - 1% should be explained")</f>
        <v/>
      </c>
      <c r="F93" s="4"/>
    </row>
    <row r="94" spans="1:15" s="1" customFormat="1" thickTop="1" x14ac:dyDescent="0.25">
      <c r="B94" s="2"/>
      <c r="C94" s="46"/>
      <c r="D94" s="49"/>
      <c r="G94" s="4"/>
    </row>
    <row r="95" spans="1:15" s="1" customFormat="1" ht="13.8" x14ac:dyDescent="0.25">
      <c r="B95" s="2"/>
      <c r="C95" s="46"/>
      <c r="D95" s="32"/>
    </row>
    <row r="96" spans="1:15" s="1" customFormat="1" ht="13.8" x14ac:dyDescent="0.25"/>
    <row r="97" s="1" customFormat="1" ht="13.8" x14ac:dyDescent="0.25"/>
  </sheetData>
  <sheetProtection algorithmName="SHA-512" hashValue="feQvJlWgFg4Xd22tPHtK00V1aN5btCfBzQlPu8wq2QD31unAxs3f5+QA73oe6tBNFjfEncQ66YMFQVnTuzTtIQ==" saltValue="fZLsK5ixDpyLbYmBeUXJoQ==" spinCount="100000" sheet="1" objects="1" scenarios="1"/>
  <mergeCells count="46">
    <mergeCell ref="D89:H89"/>
    <mergeCell ref="J89:K89"/>
    <mergeCell ref="B13:C13"/>
    <mergeCell ref="E13:F13"/>
    <mergeCell ref="B19:H19"/>
    <mergeCell ref="H61:J61"/>
    <mergeCell ref="B27:F27"/>
    <mergeCell ref="A75:B75"/>
    <mergeCell ref="D74:H74"/>
    <mergeCell ref="D80:H80"/>
    <mergeCell ref="D81:H81"/>
    <mergeCell ref="D82:H82"/>
    <mergeCell ref="D75:H75"/>
    <mergeCell ref="D76:H76"/>
    <mergeCell ref="D77:H77"/>
    <mergeCell ref="D88:H88"/>
    <mergeCell ref="D83:H83"/>
    <mergeCell ref="D84:H84"/>
    <mergeCell ref="D85:H85"/>
    <mergeCell ref="D86:H86"/>
    <mergeCell ref="D87:H87"/>
    <mergeCell ref="B25:F25"/>
    <mergeCell ref="H62:J62"/>
    <mergeCell ref="H63:J63"/>
    <mergeCell ref="D78:H78"/>
    <mergeCell ref="D79:H79"/>
    <mergeCell ref="I74:K74"/>
    <mergeCell ref="J75:K75"/>
    <mergeCell ref="J76:K76"/>
    <mergeCell ref="J77:K77"/>
    <mergeCell ref="J78:K78"/>
    <mergeCell ref="J79:K79"/>
    <mergeCell ref="B65:D71"/>
    <mergeCell ref="F66:K71"/>
    <mergeCell ref="B64:D64"/>
    <mergeCell ref="G59:K59"/>
    <mergeCell ref="G58:K58"/>
    <mergeCell ref="J85:K85"/>
    <mergeCell ref="J86:K86"/>
    <mergeCell ref="J87:K87"/>
    <mergeCell ref="J88:K88"/>
    <mergeCell ref="J80:K80"/>
    <mergeCell ref="J81:K81"/>
    <mergeCell ref="J82:K82"/>
    <mergeCell ref="J83:K83"/>
    <mergeCell ref="J84:K84"/>
  </mergeCells>
  <dataValidations count="2">
    <dataValidation type="list" sqref="C23" xr:uid="{00000000-0002-0000-0300-000000000000}">
      <formula1>"1st Estimate, 2nd Estimate, Actual"</formula1>
    </dataValidation>
    <dataValidation type="list" allowBlank="1" showInputMessage="1" showErrorMessage="1" sqref="G27 I76:I89 G25" xr:uid="{00000000-0002-0000-0300-000001000000}">
      <formula1>"Yes,No"</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8DBD3-59BD-4464-A5CD-B8DA0628D96F}">
  <sheetPr codeName="Sheet5"/>
  <dimension ref="A12:W97"/>
  <sheetViews>
    <sheetView showGridLines="0" topLeftCell="A17" zoomScale="70" zoomScaleNormal="70" workbookViewId="0">
      <selection activeCell="F58" sqref="F58"/>
    </sheetView>
  </sheetViews>
  <sheetFormatPr defaultColWidth="9" defaultRowHeight="14.4" x14ac:dyDescent="0.3"/>
  <cols>
    <col min="1" max="1" width="10.33203125" customWidth="1"/>
    <col min="2" max="2" width="53.88671875" customWidth="1"/>
    <col min="3" max="3" width="28" customWidth="1"/>
    <col min="4" max="4" width="23" customWidth="1"/>
    <col min="5" max="5" width="19" customWidth="1"/>
    <col min="6" max="6" width="24.3320312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1" customFormat="1" ht="13.8" x14ac:dyDescent="0.25">
      <c r="A12" s="4" t="s">
        <v>74</v>
      </c>
      <c r="B12" s="22" t="s">
        <v>75</v>
      </c>
      <c r="C12" s="21"/>
      <c r="D12" s="21"/>
      <c r="E12" s="21"/>
      <c r="F12" s="21"/>
      <c r="I12" s="4"/>
      <c r="J12" s="4"/>
      <c r="K12" s="4"/>
      <c r="L12" s="4"/>
      <c r="M12" s="4"/>
      <c r="N12" s="4"/>
      <c r="O12" s="4"/>
      <c r="P12" s="4"/>
      <c r="Q12" s="4"/>
      <c r="R12" s="4"/>
      <c r="S12" s="4"/>
    </row>
    <row r="13" spans="1:19" s="1" customFormat="1" ht="13.8" x14ac:dyDescent="0.25">
      <c r="A13" s="4"/>
      <c r="B13" s="302" t="s">
        <v>4</v>
      </c>
      <c r="C13" s="302"/>
      <c r="D13" s="121">
        <v>2017</v>
      </c>
      <c r="E13" s="303"/>
      <c r="F13" s="304"/>
      <c r="G13" s="4"/>
      <c r="H13" s="4"/>
      <c r="I13" s="4"/>
      <c r="J13" s="4"/>
      <c r="K13" s="4"/>
      <c r="L13" s="4"/>
      <c r="M13" s="4"/>
      <c r="N13" s="4"/>
      <c r="O13" s="4"/>
      <c r="P13" s="4"/>
      <c r="Q13" s="4"/>
    </row>
    <row r="14" spans="1:19" s="1" customFormat="1" thickBot="1" x14ac:dyDescent="0.3">
      <c r="A14" s="4"/>
      <c r="B14" s="5" t="s">
        <v>76</v>
      </c>
      <c r="C14" s="6" t="s">
        <v>77</v>
      </c>
      <c r="D14" s="124">
        <f>VLOOKUP('1. Information Sheet'!$C$17,RRR_2017!$B$4:$U$68,19,FALSE)</f>
        <v>857233215</v>
      </c>
      <c r="E14" s="6" t="s">
        <v>78</v>
      </c>
      <c r="F14" s="256">
        <v>1</v>
      </c>
      <c r="G14" s="4"/>
      <c r="H14" s="4"/>
      <c r="I14" s="4"/>
      <c r="J14" s="4"/>
      <c r="K14" s="4"/>
      <c r="L14" s="4"/>
      <c r="M14" s="4"/>
      <c r="N14" s="4"/>
      <c r="O14" s="4"/>
      <c r="P14" s="4"/>
      <c r="Q14" s="4"/>
    </row>
    <row r="15" spans="1:19" s="1" customFormat="1" thickBot="1" x14ac:dyDescent="0.3">
      <c r="B15" s="5" t="s">
        <v>79</v>
      </c>
      <c r="C15" s="6" t="s">
        <v>80</v>
      </c>
      <c r="D15" s="124">
        <f>VLOOKUP('1. Information Sheet'!$C$17,RRR_2017!$B$4:$U$68,7,FALSE)</f>
        <v>392752396</v>
      </c>
      <c r="E15" s="6" t="s">
        <v>78</v>
      </c>
      <c r="F15" s="257">
        <f>IFERROR(D15/$D$14,0)</f>
        <v>0.45816283028650495</v>
      </c>
    </row>
    <row r="16" spans="1:19" s="1" customFormat="1" thickBot="1" x14ac:dyDescent="0.3">
      <c r="B16" s="5" t="s">
        <v>81</v>
      </c>
      <c r="C16" s="6" t="s">
        <v>82</v>
      </c>
      <c r="D16" s="124">
        <f>VLOOKUP('1. Information Sheet'!$C$17,RRR_2017!$B$4:$U$68,20,FALSE)</f>
        <v>464480819</v>
      </c>
      <c r="E16" s="6" t="s">
        <v>78</v>
      </c>
      <c r="F16" s="257">
        <f>IFERROR(D16/$D$14,0)</f>
        <v>0.54183716971349505</v>
      </c>
    </row>
    <row r="17" spans="1:8" s="1" customFormat="1" thickBot="1" x14ac:dyDescent="0.3">
      <c r="B17" s="5" t="s">
        <v>83</v>
      </c>
      <c r="C17" s="6" t="s">
        <v>84</v>
      </c>
      <c r="D17" s="124">
        <f>VLOOKUP('1. Information Sheet'!$C$17,RRR_2017!$B$4:$U$68,13,FALSE)</f>
        <v>172175189</v>
      </c>
      <c r="E17" s="6" t="s">
        <v>78</v>
      </c>
      <c r="F17" s="257">
        <f>IFERROR(D17/$D$14,0)</f>
        <v>0.20084988074103033</v>
      </c>
    </row>
    <row r="18" spans="1:8" s="1" customFormat="1" thickBot="1" x14ac:dyDescent="0.3">
      <c r="B18" s="5" t="s">
        <v>85</v>
      </c>
      <c r="C18" s="6" t="s">
        <v>86</v>
      </c>
      <c r="D18" s="124">
        <f>D16-D17</f>
        <v>292305630</v>
      </c>
      <c r="E18" s="6" t="s">
        <v>78</v>
      </c>
      <c r="F18" s="257">
        <f>IFERROR(D18/$D$14,0)</f>
        <v>0.34098728897246472</v>
      </c>
    </row>
    <row r="19" spans="1:8" s="1" customFormat="1" ht="34.5" customHeight="1" x14ac:dyDescent="0.25">
      <c r="B19" s="305" t="s">
        <v>87</v>
      </c>
      <c r="C19" s="305"/>
      <c r="D19" s="305"/>
      <c r="E19" s="305"/>
      <c r="F19" s="305"/>
      <c r="G19" s="306"/>
      <c r="H19" s="306"/>
    </row>
    <row r="20" spans="1:8" s="1" customFormat="1" ht="13.8" x14ac:dyDescent="0.25">
      <c r="D20" s="96"/>
    </row>
    <row r="21" spans="1:8" s="1" customFormat="1" ht="13.8" x14ac:dyDescent="0.25">
      <c r="A21" s="1" t="s">
        <v>88</v>
      </c>
      <c r="B21" s="3" t="s">
        <v>89</v>
      </c>
    </row>
    <row r="22" spans="1:8" s="1" customFormat="1" ht="13.8" x14ac:dyDescent="0.25">
      <c r="B22" s="3"/>
    </row>
    <row r="23" spans="1:8" s="1" customFormat="1" ht="13.8" x14ac:dyDescent="0.25">
      <c r="B23" s="2" t="s">
        <v>90</v>
      </c>
      <c r="C23" s="115"/>
      <c r="E23" s="4"/>
    </row>
    <row r="24" spans="1:8" s="1" customFormat="1" ht="13.8" x14ac:dyDescent="0.25">
      <c r="E24" s="4"/>
    </row>
    <row r="25" spans="1:8" s="1" customFormat="1" x14ac:dyDescent="0.3">
      <c r="B25" s="315" t="s">
        <v>166</v>
      </c>
      <c r="C25" s="316"/>
      <c r="D25" s="316"/>
      <c r="E25" s="316"/>
      <c r="F25" s="316"/>
      <c r="G25" s="115"/>
    </row>
    <row r="26" spans="1:8" s="1" customFormat="1" ht="13.8" x14ac:dyDescent="0.25">
      <c r="E26" s="4"/>
    </row>
    <row r="27" spans="1:8" s="1" customFormat="1" x14ac:dyDescent="0.3">
      <c r="B27" s="315" t="s">
        <v>167</v>
      </c>
      <c r="C27" s="316"/>
      <c r="D27" s="316"/>
      <c r="E27" s="316"/>
      <c r="F27" s="316"/>
      <c r="G27" s="115"/>
    </row>
    <row r="28" spans="1:8" s="1" customFormat="1" ht="15" customHeight="1" x14ac:dyDescent="0.25">
      <c r="B28" s="9"/>
      <c r="C28" s="9"/>
      <c r="D28" s="9"/>
      <c r="E28" s="9"/>
      <c r="F28" s="9"/>
      <c r="G28" s="9"/>
      <c r="H28" s="9"/>
    </row>
    <row r="29" spans="1:8" s="1" customFormat="1" ht="15" hidden="1" customHeight="1" x14ac:dyDescent="0.25">
      <c r="B29" s="9"/>
      <c r="C29" s="9"/>
      <c r="D29" s="9"/>
      <c r="E29" s="9"/>
      <c r="F29" s="9"/>
      <c r="G29" s="9"/>
      <c r="H29" s="9"/>
    </row>
    <row r="30" spans="1:8" s="1" customFormat="1" ht="15" hidden="1" customHeight="1" x14ac:dyDescent="0.25">
      <c r="B30" s="9"/>
      <c r="C30" s="9"/>
      <c r="D30" s="9"/>
      <c r="E30" s="9"/>
      <c r="F30" s="9"/>
      <c r="G30" s="9"/>
      <c r="H30" s="9"/>
    </row>
    <row r="31" spans="1:8" s="1" customFormat="1" ht="15" hidden="1" customHeight="1" x14ac:dyDescent="0.25">
      <c r="B31" s="9"/>
      <c r="C31" s="9"/>
      <c r="D31" s="9"/>
      <c r="E31" s="9"/>
      <c r="F31" s="9"/>
      <c r="G31" s="9"/>
      <c r="H31" s="9"/>
    </row>
    <row r="32" spans="1:8" s="1" customFormat="1" ht="14.25" hidden="1" customHeight="1" x14ac:dyDescent="0.25">
      <c r="B32" s="9"/>
      <c r="C32" s="9"/>
      <c r="D32" s="9"/>
      <c r="E32" s="9"/>
      <c r="F32" s="9"/>
      <c r="G32" s="9"/>
      <c r="H32" s="9"/>
    </row>
    <row r="33" spans="1:23" s="1" customFormat="1" ht="14.25" hidden="1" customHeight="1" x14ac:dyDescent="0.25">
      <c r="B33" s="9"/>
      <c r="C33" s="9"/>
      <c r="D33" s="9"/>
      <c r="E33" s="9"/>
      <c r="F33" s="9"/>
      <c r="G33" s="9"/>
      <c r="H33" s="9"/>
    </row>
    <row r="34" spans="1:23" s="1" customFormat="1" ht="14.25" hidden="1" customHeight="1" x14ac:dyDescent="0.25">
      <c r="B34" s="9"/>
      <c r="C34" s="9"/>
      <c r="D34" s="9"/>
      <c r="E34" s="9"/>
      <c r="F34" s="9"/>
      <c r="G34" s="9"/>
      <c r="H34" s="9"/>
    </row>
    <row r="35" spans="1:23" s="1" customFormat="1" ht="14.25" hidden="1" customHeight="1" x14ac:dyDescent="0.25">
      <c r="B35" s="9"/>
      <c r="C35" s="9"/>
      <c r="D35" s="9"/>
      <c r="E35" s="9"/>
      <c r="F35" s="9"/>
      <c r="G35" s="9"/>
      <c r="H35" s="9"/>
    </row>
    <row r="36" spans="1:23" s="1" customFormat="1" ht="13.8" x14ac:dyDescent="0.25"/>
    <row r="37" spans="1:23" s="1" customFormat="1" ht="13.8" x14ac:dyDescent="0.25">
      <c r="A37" s="1" t="s">
        <v>92</v>
      </c>
      <c r="B37" s="37" t="s">
        <v>93</v>
      </c>
      <c r="C37" s="3"/>
    </row>
    <row r="38" spans="1:23" s="1" customFormat="1" ht="15" thickBot="1" x14ac:dyDescent="0.35">
      <c r="B38" s="2" t="s">
        <v>4</v>
      </c>
      <c r="C38" s="122">
        <v>2017</v>
      </c>
      <c r="D38" s="4"/>
      <c r="E38" s="4"/>
      <c r="F38" s="68"/>
      <c r="G38" s="2"/>
      <c r="H38" s="2"/>
      <c r="I38" s="2"/>
      <c r="J38" s="2"/>
      <c r="K38" s="2"/>
      <c r="N38"/>
      <c r="O38"/>
      <c r="P38"/>
      <c r="Q38"/>
      <c r="R38"/>
      <c r="S38"/>
      <c r="T38"/>
      <c r="U38"/>
      <c r="V38"/>
      <c r="W38"/>
    </row>
    <row r="39" spans="1:23" s="9" customFormat="1" ht="80.25" customHeight="1" thickBot="1" x14ac:dyDescent="0.35">
      <c r="B39" s="40" t="s">
        <v>95</v>
      </c>
      <c r="C39" s="52" t="s">
        <v>96</v>
      </c>
      <c r="D39" s="69" t="s">
        <v>97</v>
      </c>
      <c r="E39" s="70" t="s">
        <v>98</v>
      </c>
      <c r="F39" s="57" t="s">
        <v>99</v>
      </c>
      <c r="G39" s="26" t="s">
        <v>100</v>
      </c>
      <c r="H39" s="26" t="s">
        <v>101</v>
      </c>
      <c r="I39" s="26" t="s">
        <v>102</v>
      </c>
      <c r="J39" s="26" t="s">
        <v>103</v>
      </c>
      <c r="K39" s="58" t="s">
        <v>168</v>
      </c>
      <c r="N39"/>
      <c r="O39"/>
      <c r="P39"/>
      <c r="Q39"/>
      <c r="R39"/>
      <c r="S39"/>
      <c r="T39"/>
      <c r="U39"/>
      <c r="V39"/>
      <c r="W39"/>
    </row>
    <row r="40" spans="1:23" s="9" customFormat="1" x14ac:dyDescent="0.3">
      <c r="B40" s="12"/>
      <c r="C40" s="53" t="s">
        <v>105</v>
      </c>
      <c r="D40" s="53" t="s">
        <v>106</v>
      </c>
      <c r="E40" s="54" t="s">
        <v>107</v>
      </c>
      <c r="F40" s="54" t="s">
        <v>108</v>
      </c>
      <c r="G40" s="54" t="s">
        <v>109</v>
      </c>
      <c r="H40" s="55" t="s">
        <v>110</v>
      </c>
      <c r="I40" s="54" t="s">
        <v>111</v>
      </c>
      <c r="J40" s="55" t="s">
        <v>112</v>
      </c>
      <c r="K40" s="56" t="s">
        <v>169</v>
      </c>
      <c r="N40"/>
      <c r="O40"/>
      <c r="P40"/>
      <c r="Q40"/>
      <c r="R40"/>
      <c r="S40"/>
      <c r="T40"/>
      <c r="U40"/>
      <c r="V40"/>
      <c r="W40"/>
    </row>
    <row r="41" spans="1:23" s="1" customFormat="1" x14ac:dyDescent="0.3">
      <c r="B41" s="13" t="s">
        <v>118</v>
      </c>
      <c r="C41" s="125"/>
      <c r="D41" s="125"/>
      <c r="E41" s="126"/>
      <c r="F41" s="127">
        <f>C41-D41+E41</f>
        <v>0</v>
      </c>
      <c r="G41" s="20">
        <f>IF($C$23="1st Estimate",'GA Rates'!X4,IF($C$23="2nd Estimate",'GA Rates'!Y4,IF($C$23="Actual",'GA Rates'!Z4,0)))</f>
        <v>0</v>
      </c>
      <c r="H41" s="130">
        <f>F41*G41</f>
        <v>0</v>
      </c>
      <c r="I41" s="20">
        <f>'GA Rates'!Z4</f>
        <v>8.2269999999999996E-2</v>
      </c>
      <c r="J41" s="132">
        <f>F41*I41</f>
        <v>0</v>
      </c>
      <c r="K41" s="133">
        <f>J41-H41</f>
        <v>0</v>
      </c>
      <c r="N41"/>
      <c r="O41"/>
      <c r="P41"/>
      <c r="Q41"/>
      <c r="R41"/>
      <c r="S41"/>
      <c r="T41"/>
      <c r="U41"/>
      <c r="V41"/>
      <c r="W41"/>
    </row>
    <row r="42" spans="1:23" s="1" customFormat="1" x14ac:dyDescent="0.3">
      <c r="B42" s="13" t="s">
        <v>119</v>
      </c>
      <c r="C42" s="125"/>
      <c r="D42" s="125"/>
      <c r="E42" s="126"/>
      <c r="F42" s="127">
        <f t="shared" ref="F42:F52" si="0">C42-D42+E42</f>
        <v>0</v>
      </c>
      <c r="G42" s="20">
        <f>IF($C$23="1st Estimate",'GA Rates'!X5,IF($C$23="2nd Estimate",'GA Rates'!Y5,IF($C$23="Actual",'GA Rates'!Z5,0)))</f>
        <v>0</v>
      </c>
      <c r="H42" s="130">
        <f t="shared" ref="H42:H52" si="1">F42*G42</f>
        <v>0</v>
      </c>
      <c r="I42" s="20">
        <f>'GA Rates'!Z5</f>
        <v>8.6389999999999995E-2</v>
      </c>
      <c r="J42" s="132">
        <f t="shared" ref="J42:J52" si="2">F42*I42</f>
        <v>0</v>
      </c>
      <c r="K42" s="133">
        <f t="shared" ref="K42:K52" si="3">J42-H42</f>
        <v>0</v>
      </c>
      <c r="N42"/>
      <c r="O42"/>
      <c r="P42"/>
      <c r="Q42"/>
      <c r="R42"/>
      <c r="S42"/>
      <c r="T42"/>
      <c r="U42"/>
      <c r="V42"/>
      <c r="W42"/>
    </row>
    <row r="43" spans="1:23" s="1" customFormat="1" x14ac:dyDescent="0.3">
      <c r="B43" s="13" t="s">
        <v>120</v>
      </c>
      <c r="C43" s="125"/>
      <c r="D43" s="125"/>
      <c r="E43" s="126"/>
      <c r="F43" s="127">
        <f t="shared" si="0"/>
        <v>0</v>
      </c>
      <c r="G43" s="20">
        <f>IF($C$23="1st Estimate",'GA Rates'!X6,IF($C$23="2nd Estimate",'GA Rates'!Y6,IF($C$23="Actual",'GA Rates'!Z6,0)))</f>
        <v>0</v>
      </c>
      <c r="H43" s="130">
        <f t="shared" si="1"/>
        <v>0</v>
      </c>
      <c r="I43" s="20">
        <f>'GA Rates'!Z6</f>
        <v>7.1349999999999997E-2</v>
      </c>
      <c r="J43" s="132">
        <f t="shared" si="2"/>
        <v>0</v>
      </c>
      <c r="K43" s="133">
        <f t="shared" si="3"/>
        <v>0</v>
      </c>
      <c r="N43"/>
      <c r="O43"/>
      <c r="P43"/>
      <c r="Q43"/>
      <c r="R43"/>
      <c r="S43"/>
      <c r="T43"/>
      <c r="U43"/>
      <c r="V43"/>
      <c r="W43"/>
    </row>
    <row r="44" spans="1:23" s="1" customFormat="1" x14ac:dyDescent="0.3">
      <c r="B44" s="13" t="s">
        <v>121</v>
      </c>
      <c r="C44" s="125"/>
      <c r="D44" s="125"/>
      <c r="E44" s="126"/>
      <c r="F44" s="127">
        <f t="shared" si="0"/>
        <v>0</v>
      </c>
      <c r="G44" s="20">
        <f>IF($C$23="1st Estimate",'GA Rates'!X7,IF($C$23="2nd Estimate",'GA Rates'!Y7,IF($C$23="Actual",'GA Rates'!Z7,0)))</f>
        <v>0</v>
      </c>
      <c r="H44" s="130">
        <f t="shared" si="1"/>
        <v>0</v>
      </c>
      <c r="I44" s="20">
        <f>'GA Rates'!Z7</f>
        <v>0.10778</v>
      </c>
      <c r="J44" s="132">
        <f t="shared" si="2"/>
        <v>0</v>
      </c>
      <c r="K44" s="133">
        <f t="shared" si="3"/>
        <v>0</v>
      </c>
      <c r="N44"/>
      <c r="O44"/>
      <c r="P44"/>
      <c r="Q44"/>
      <c r="R44"/>
      <c r="S44"/>
      <c r="T44"/>
      <c r="U44"/>
      <c r="V44"/>
      <c r="W44"/>
    </row>
    <row r="45" spans="1:23" s="1" customFormat="1" x14ac:dyDescent="0.3">
      <c r="B45" s="13" t="s">
        <v>122</v>
      </c>
      <c r="C45" s="125"/>
      <c r="D45" s="125"/>
      <c r="E45" s="126"/>
      <c r="F45" s="127">
        <f t="shared" si="0"/>
        <v>0</v>
      </c>
      <c r="G45" s="20">
        <f>IF($C$23="1st Estimate",'GA Rates'!X8,IF($C$23="2nd Estimate",'GA Rates'!Y8,IF($C$23="Actual",'GA Rates'!Z8,0)))</f>
        <v>0</v>
      </c>
      <c r="H45" s="130">
        <f t="shared" si="1"/>
        <v>0</v>
      </c>
      <c r="I45" s="20">
        <f>'GA Rates'!Z8</f>
        <v>0.12307</v>
      </c>
      <c r="J45" s="132">
        <f t="shared" si="2"/>
        <v>0</v>
      </c>
      <c r="K45" s="133">
        <f t="shared" si="3"/>
        <v>0</v>
      </c>
      <c r="N45"/>
      <c r="O45"/>
      <c r="P45"/>
      <c r="Q45"/>
      <c r="R45"/>
      <c r="S45"/>
      <c r="T45"/>
      <c r="U45"/>
      <c r="V45"/>
      <c r="W45"/>
    </row>
    <row r="46" spans="1:23" s="1" customFormat="1" x14ac:dyDescent="0.3">
      <c r="B46" s="13" t="s">
        <v>123</v>
      </c>
      <c r="C46" s="125"/>
      <c r="D46" s="125"/>
      <c r="E46" s="126"/>
      <c r="F46" s="127">
        <f t="shared" si="0"/>
        <v>0</v>
      </c>
      <c r="G46" s="20">
        <f>IF($C$23="1st Estimate",'GA Rates'!X9,IF($C$23="2nd Estimate",'GA Rates'!Y9,IF($C$23="Actual",'GA Rates'!Z9,0)))</f>
        <v>0</v>
      </c>
      <c r="H46" s="130">
        <f t="shared" si="1"/>
        <v>0</v>
      </c>
      <c r="I46" s="20">
        <f>'GA Rates'!Z9</f>
        <v>0.11848</v>
      </c>
      <c r="J46" s="132">
        <f t="shared" si="2"/>
        <v>0</v>
      </c>
      <c r="K46" s="133">
        <f t="shared" si="3"/>
        <v>0</v>
      </c>
      <c r="N46"/>
      <c r="O46"/>
      <c r="P46"/>
      <c r="Q46"/>
      <c r="R46"/>
      <c r="S46"/>
      <c r="T46"/>
      <c r="U46"/>
      <c r="V46"/>
      <c r="W46"/>
    </row>
    <row r="47" spans="1:23" s="1" customFormat="1" x14ac:dyDescent="0.3">
      <c r="B47" s="13" t="s">
        <v>124</v>
      </c>
      <c r="C47" s="126"/>
      <c r="D47" s="125"/>
      <c r="E47" s="126"/>
      <c r="F47" s="127">
        <f t="shared" si="0"/>
        <v>0</v>
      </c>
      <c r="G47" s="20">
        <f>IF($C$23="1st Estimate",'GA Rates'!X10,IF($C$23="2nd Estimate",'GA Rates'!Y10,IF($C$23="Actual",'GA Rates'!Z10,0)))</f>
        <v>0</v>
      </c>
      <c r="H47" s="130">
        <f t="shared" si="1"/>
        <v>0</v>
      </c>
      <c r="I47" s="20">
        <f>'GA Rates'!Z10</f>
        <v>0.1128</v>
      </c>
      <c r="J47" s="132">
        <f t="shared" si="2"/>
        <v>0</v>
      </c>
      <c r="K47" s="133">
        <f t="shared" si="3"/>
        <v>0</v>
      </c>
      <c r="N47"/>
      <c r="O47"/>
      <c r="P47"/>
      <c r="Q47"/>
      <c r="R47"/>
      <c r="S47"/>
      <c r="T47"/>
      <c r="U47"/>
      <c r="V47"/>
      <c r="W47"/>
    </row>
    <row r="48" spans="1:23" s="1" customFormat="1" x14ac:dyDescent="0.3">
      <c r="B48" s="13" t="s">
        <v>125</v>
      </c>
      <c r="C48" s="126"/>
      <c r="D48" s="125"/>
      <c r="E48" s="126"/>
      <c r="F48" s="127">
        <f t="shared" si="0"/>
        <v>0</v>
      </c>
      <c r="G48" s="20">
        <f>IF($C$23="1st Estimate",'GA Rates'!X11,IF($C$23="2nd Estimate",'GA Rates'!Y11,IF($C$23="Actual",'GA Rates'!Z11,0)))</f>
        <v>0</v>
      </c>
      <c r="H48" s="130">
        <f t="shared" si="1"/>
        <v>0</v>
      </c>
      <c r="I48" s="20">
        <f>'GA Rates'!Z11</f>
        <v>0.10109</v>
      </c>
      <c r="J48" s="132">
        <f t="shared" si="2"/>
        <v>0</v>
      </c>
      <c r="K48" s="133">
        <f t="shared" si="3"/>
        <v>0</v>
      </c>
      <c r="N48"/>
      <c r="O48"/>
      <c r="P48"/>
      <c r="Q48"/>
      <c r="R48"/>
      <c r="S48"/>
      <c r="T48"/>
      <c r="U48"/>
      <c r="V48"/>
      <c r="W48"/>
    </row>
    <row r="49" spans="2:23" s="1" customFormat="1" x14ac:dyDescent="0.3">
      <c r="B49" s="13" t="s">
        <v>126</v>
      </c>
      <c r="C49" s="126"/>
      <c r="D49" s="125"/>
      <c r="E49" s="126"/>
      <c r="F49" s="127">
        <f t="shared" si="0"/>
        <v>0</v>
      </c>
      <c r="G49" s="20">
        <f>IF($C$23="1st Estimate",'GA Rates'!X12,IF($C$23="2nd Estimate",'GA Rates'!Y12,IF($C$23="Actual",'GA Rates'!Z12,0)))</f>
        <v>0</v>
      </c>
      <c r="H49" s="130">
        <f t="shared" si="1"/>
        <v>0</v>
      </c>
      <c r="I49" s="20">
        <f>'GA Rates'!Z12</f>
        <v>8.8639999999999997E-2</v>
      </c>
      <c r="J49" s="132">
        <f t="shared" si="2"/>
        <v>0</v>
      </c>
      <c r="K49" s="133">
        <f t="shared" si="3"/>
        <v>0</v>
      </c>
      <c r="N49"/>
      <c r="O49"/>
      <c r="P49"/>
      <c r="Q49"/>
      <c r="R49"/>
      <c r="S49"/>
      <c r="T49"/>
      <c r="U49"/>
      <c r="V49"/>
      <c r="W49"/>
    </row>
    <row r="50" spans="2:23" s="1" customFormat="1" x14ac:dyDescent="0.3">
      <c r="B50" s="13" t="s">
        <v>127</v>
      </c>
      <c r="C50" s="126"/>
      <c r="D50" s="125"/>
      <c r="E50" s="126"/>
      <c r="F50" s="127">
        <f t="shared" si="0"/>
        <v>0</v>
      </c>
      <c r="G50" s="20">
        <f>IF($C$23="1st Estimate",'GA Rates'!X13,IF($C$23="2nd Estimate",'GA Rates'!Y13,IF($C$23="Actual",'GA Rates'!Z13,0)))</f>
        <v>0</v>
      </c>
      <c r="H50" s="130">
        <f t="shared" si="1"/>
        <v>0</v>
      </c>
      <c r="I50" s="20">
        <f>'GA Rates'!Z13</f>
        <v>0.12562999999999999</v>
      </c>
      <c r="J50" s="132">
        <f t="shared" si="2"/>
        <v>0</v>
      </c>
      <c r="K50" s="133">
        <f t="shared" si="3"/>
        <v>0</v>
      </c>
      <c r="N50"/>
      <c r="O50"/>
      <c r="P50"/>
      <c r="Q50"/>
      <c r="R50"/>
      <c r="S50"/>
      <c r="T50"/>
      <c r="U50"/>
      <c r="V50"/>
      <c r="W50"/>
    </row>
    <row r="51" spans="2:23" s="1" customFormat="1" x14ac:dyDescent="0.3">
      <c r="B51" s="13" t="s">
        <v>128</v>
      </c>
      <c r="C51" s="126"/>
      <c r="D51" s="125"/>
      <c r="E51" s="126"/>
      <c r="F51" s="127">
        <f t="shared" si="0"/>
        <v>0</v>
      </c>
      <c r="G51" s="20">
        <f>IF($C$23="1st Estimate",'GA Rates'!X14,IF($C$23="2nd Estimate",'GA Rates'!Y14,IF($C$23="Actual",'GA Rates'!Z14,0)))</f>
        <v>0</v>
      </c>
      <c r="H51" s="130">
        <f t="shared" si="1"/>
        <v>0</v>
      </c>
      <c r="I51" s="20">
        <f>'GA Rates'!Z14</f>
        <v>9.7040000000000001E-2</v>
      </c>
      <c r="J51" s="132">
        <f t="shared" si="2"/>
        <v>0</v>
      </c>
      <c r="K51" s="133">
        <f t="shared" si="3"/>
        <v>0</v>
      </c>
      <c r="N51"/>
      <c r="O51"/>
      <c r="P51"/>
      <c r="Q51"/>
      <c r="R51"/>
      <c r="S51"/>
      <c r="T51"/>
      <c r="U51"/>
      <c r="V51"/>
      <c r="W51"/>
    </row>
    <row r="52" spans="2:23" s="1" customFormat="1" x14ac:dyDescent="0.3">
      <c r="B52" s="13" t="s">
        <v>129</v>
      </c>
      <c r="C52" s="128"/>
      <c r="D52" s="125"/>
      <c r="E52" s="126"/>
      <c r="F52" s="127">
        <f t="shared" si="0"/>
        <v>0</v>
      </c>
      <c r="G52" s="20">
        <f>IF($C$23="1st Estimate",'GA Rates'!X15,IF($C$23="2nd Estimate",'GA Rates'!Y15,IF($C$23="Actual",'GA Rates'!Z15,0)))</f>
        <v>0</v>
      </c>
      <c r="H52" s="130">
        <f t="shared" si="1"/>
        <v>0</v>
      </c>
      <c r="I52" s="20">
        <f>'GA Rates'!Z15</f>
        <v>9.2069999999999999E-2</v>
      </c>
      <c r="J52" s="132">
        <f t="shared" si="2"/>
        <v>0</v>
      </c>
      <c r="K52" s="133">
        <f t="shared" si="3"/>
        <v>0</v>
      </c>
      <c r="N52"/>
      <c r="O52"/>
      <c r="P52"/>
      <c r="Q52"/>
      <c r="R52"/>
      <c r="S52"/>
      <c r="T52"/>
      <c r="U52"/>
      <c r="V52"/>
      <c r="W52"/>
    </row>
    <row r="53" spans="2:23" s="1" customFormat="1" ht="28.8" thickBot="1" x14ac:dyDescent="0.35">
      <c r="B53" s="102" t="s">
        <v>130</v>
      </c>
      <c r="C53" s="129">
        <f>SUM(C41:C52)</f>
        <v>0</v>
      </c>
      <c r="D53" s="129">
        <f>SUM(D41:D52)</f>
        <v>0</v>
      </c>
      <c r="E53" s="129">
        <f>SUM(E41:E52)</f>
        <v>0</v>
      </c>
      <c r="F53" s="129">
        <f>SUM(F41:F52)</f>
        <v>0</v>
      </c>
      <c r="G53" s="33"/>
      <c r="H53" s="131">
        <f>SUM(H41:H52)</f>
        <v>0</v>
      </c>
      <c r="I53" s="33"/>
      <c r="J53" s="131">
        <f>SUM(J41:J52)</f>
        <v>0</v>
      </c>
      <c r="K53" s="134">
        <f>SUM(K41:K52)</f>
        <v>0</v>
      </c>
      <c r="N53"/>
      <c r="O53"/>
      <c r="P53"/>
      <c r="Q53"/>
      <c r="R53"/>
      <c r="S53"/>
      <c r="T53"/>
      <c r="U53"/>
      <c r="V53"/>
      <c r="W53"/>
    </row>
    <row r="54" spans="2:23" s="1" customFormat="1" ht="15" thickBot="1" x14ac:dyDescent="0.35">
      <c r="B54" s="62"/>
      <c r="C54" s="177"/>
      <c r="D54" s="177"/>
      <c r="E54" s="177"/>
      <c r="F54" s="177"/>
      <c r="G54" s="2"/>
      <c r="H54" s="178"/>
      <c r="I54" s="2"/>
      <c r="J54" s="178"/>
      <c r="K54" s="178"/>
      <c r="N54"/>
      <c r="O54"/>
      <c r="P54"/>
      <c r="Q54"/>
      <c r="R54"/>
      <c r="S54"/>
      <c r="T54"/>
      <c r="U54"/>
      <c r="V54"/>
      <c r="W54"/>
    </row>
    <row r="55" spans="2:23" s="1" customFormat="1" ht="55.8" x14ac:dyDescent="0.3">
      <c r="B55" s="62"/>
      <c r="C55" s="177"/>
      <c r="D55" s="177"/>
      <c r="E55" s="177"/>
      <c r="F55" s="177"/>
      <c r="G55" s="182" t="s">
        <v>170</v>
      </c>
      <c r="H55" s="183" t="s">
        <v>171</v>
      </c>
      <c r="I55" s="54" t="s">
        <v>172</v>
      </c>
      <c r="J55" s="184" t="s">
        <v>173</v>
      </c>
      <c r="K55" s="185" t="s">
        <v>174</v>
      </c>
      <c r="N55"/>
      <c r="O55"/>
      <c r="P55"/>
      <c r="Q55"/>
      <c r="R55"/>
      <c r="S55"/>
      <c r="T55"/>
      <c r="U55"/>
      <c r="V55"/>
      <c r="W55"/>
    </row>
    <row r="56" spans="2:23" s="1" customFormat="1" ht="13.8" x14ac:dyDescent="0.25">
      <c r="G56" s="186" t="s">
        <v>175</v>
      </c>
      <c r="H56" s="187" t="s">
        <v>176</v>
      </c>
      <c r="I56" s="188" t="s">
        <v>177</v>
      </c>
      <c r="J56" s="189" t="s">
        <v>178</v>
      </c>
      <c r="K56" s="190" t="s">
        <v>179</v>
      </c>
      <c r="O56" s="29"/>
      <c r="P56" s="29"/>
      <c r="Q56" s="29"/>
      <c r="R56" s="29"/>
      <c r="S56" s="29"/>
      <c r="T56" s="29"/>
      <c r="U56" s="29"/>
      <c r="V56" s="29"/>
      <c r="W56" s="29"/>
    </row>
    <row r="57" spans="2:23" s="1" customFormat="1" thickBot="1" x14ac:dyDescent="0.3">
      <c r="G57" s="261"/>
      <c r="H57" s="221">
        <f>F53</f>
        <v>0</v>
      </c>
      <c r="I57" s="221">
        <f>G57-H57</f>
        <v>0</v>
      </c>
      <c r="J57" s="264"/>
      <c r="K57" s="220">
        <f>I57*J57</f>
        <v>0</v>
      </c>
      <c r="O57" s="29"/>
      <c r="P57" s="29"/>
      <c r="Q57" s="29"/>
      <c r="R57" s="29"/>
      <c r="S57" s="29"/>
      <c r="T57" s="29"/>
      <c r="U57" s="29"/>
      <c r="V57" s="29"/>
      <c r="W57" s="29"/>
    </row>
    <row r="58" spans="2:23" s="1" customFormat="1" ht="35.4" customHeight="1" x14ac:dyDescent="0.25">
      <c r="G58" s="335" t="s">
        <v>180</v>
      </c>
      <c r="H58" s="335"/>
      <c r="I58" s="335"/>
      <c r="J58" s="335"/>
      <c r="K58" s="335"/>
      <c r="O58" s="29"/>
      <c r="P58" s="29"/>
      <c r="Q58" s="29"/>
      <c r="R58" s="29"/>
      <c r="S58" s="29"/>
      <c r="T58" s="29"/>
      <c r="U58" s="29"/>
      <c r="V58" s="29"/>
      <c r="W58" s="29"/>
    </row>
    <row r="59" spans="2:23" s="1" customFormat="1" ht="45.6" customHeight="1" thickBot="1" x14ac:dyDescent="0.3">
      <c r="G59" s="334" t="s">
        <v>181</v>
      </c>
      <c r="H59" s="334"/>
      <c r="I59" s="334"/>
      <c r="J59" s="334"/>
      <c r="K59" s="334"/>
      <c r="O59" s="29"/>
      <c r="P59" s="29"/>
      <c r="Q59" s="29"/>
      <c r="R59" s="29"/>
      <c r="S59" s="29"/>
      <c r="T59" s="29"/>
      <c r="U59" s="29"/>
      <c r="V59" s="29"/>
      <c r="W59" s="29"/>
    </row>
    <row r="60" spans="2:23" s="1" customFormat="1" thickBot="1" x14ac:dyDescent="0.3">
      <c r="G60" s="179"/>
      <c r="H60" s="180"/>
      <c r="I60" s="181"/>
      <c r="J60" s="191" t="s">
        <v>182</v>
      </c>
      <c r="K60" s="192">
        <f>K53+K57</f>
        <v>0</v>
      </c>
      <c r="O60" s="29"/>
      <c r="P60" s="29"/>
      <c r="Q60" s="29"/>
      <c r="R60" s="29"/>
      <c r="S60" s="29"/>
      <c r="T60" s="29"/>
      <c r="U60" s="29"/>
      <c r="V60" s="29"/>
      <c r="W60" s="29"/>
    </row>
    <row r="61" spans="2:23" s="1" customFormat="1" ht="41.4" customHeight="1" x14ac:dyDescent="0.25">
      <c r="H61" s="317" t="s">
        <v>183</v>
      </c>
      <c r="I61" s="317"/>
      <c r="J61" s="317"/>
      <c r="K61" s="239">
        <f>IFERROR(F53/D18,0)</f>
        <v>0</v>
      </c>
      <c r="O61" s="29"/>
      <c r="P61" s="29"/>
      <c r="Q61" s="29"/>
      <c r="R61" s="29"/>
      <c r="S61" s="29"/>
      <c r="T61" s="29"/>
      <c r="U61" s="29"/>
      <c r="V61" s="29"/>
      <c r="W61" s="29"/>
    </row>
    <row r="62" spans="2:23" s="1" customFormat="1" ht="30" customHeight="1" x14ac:dyDescent="0.25">
      <c r="H62" s="317" t="s">
        <v>184</v>
      </c>
      <c r="I62" s="317"/>
      <c r="J62" s="317"/>
      <c r="K62" s="237"/>
      <c r="O62" s="29"/>
      <c r="P62" s="29"/>
      <c r="Q62" s="29"/>
      <c r="R62" s="29"/>
      <c r="S62" s="29"/>
      <c r="T62" s="29"/>
      <c r="U62" s="29"/>
      <c r="V62" s="29"/>
      <c r="W62" s="29"/>
    </row>
    <row r="63" spans="2:23" s="1" customFormat="1" ht="13.8" x14ac:dyDescent="0.25">
      <c r="H63" s="317" t="s">
        <v>185</v>
      </c>
      <c r="I63" s="317"/>
      <c r="J63" s="317"/>
      <c r="K63" s="111">
        <f>K61-K62</f>
        <v>0</v>
      </c>
      <c r="O63" s="29"/>
      <c r="P63" s="29"/>
      <c r="Q63" s="29"/>
      <c r="R63" s="29"/>
      <c r="S63" s="29"/>
      <c r="T63" s="29"/>
      <c r="U63" s="29"/>
      <c r="V63" s="29"/>
      <c r="W63" s="29"/>
    </row>
    <row r="64" spans="2:23" s="1" customFormat="1" ht="27" customHeight="1" thickBot="1" x14ac:dyDescent="0.3">
      <c r="B64" s="333" t="s">
        <v>186</v>
      </c>
      <c r="C64" s="333"/>
      <c r="D64" s="333"/>
      <c r="H64" s="149"/>
      <c r="I64" s="149"/>
      <c r="J64" s="149"/>
      <c r="K64" s="111"/>
      <c r="O64" s="29"/>
      <c r="P64" s="29"/>
      <c r="Q64" s="29"/>
      <c r="R64" s="29"/>
      <c r="S64" s="29"/>
      <c r="T64" s="29"/>
      <c r="U64" s="29"/>
      <c r="V64" s="29"/>
      <c r="W64" s="29"/>
    </row>
    <row r="65" spans="1:23" s="1" customFormat="1" thickBot="1" x14ac:dyDescent="0.3">
      <c r="B65" s="324"/>
      <c r="C65" s="325"/>
      <c r="D65" s="326"/>
      <c r="E65" s="161"/>
      <c r="F65" s="2" t="s">
        <v>187</v>
      </c>
      <c r="H65" s="149"/>
      <c r="I65" s="149"/>
      <c r="J65" s="149"/>
      <c r="K65" s="111"/>
      <c r="O65" s="29"/>
      <c r="P65" s="29"/>
      <c r="Q65" s="29"/>
      <c r="R65" s="29"/>
      <c r="S65" s="29"/>
      <c r="T65" s="29"/>
      <c r="U65" s="29"/>
      <c r="V65" s="29"/>
      <c r="W65" s="29"/>
    </row>
    <row r="66" spans="1:23" s="1" customFormat="1" ht="15" customHeight="1" x14ac:dyDescent="0.25">
      <c r="B66" s="327"/>
      <c r="C66" s="328"/>
      <c r="D66" s="329"/>
      <c r="E66" s="161"/>
      <c r="F66" s="324"/>
      <c r="G66" s="325"/>
      <c r="H66" s="325"/>
      <c r="I66" s="325"/>
      <c r="J66" s="325"/>
      <c r="K66" s="326"/>
      <c r="O66" s="29"/>
      <c r="P66" s="29"/>
      <c r="Q66" s="29"/>
      <c r="R66" s="29"/>
      <c r="S66" s="29"/>
      <c r="T66" s="29"/>
      <c r="U66" s="29"/>
      <c r="V66" s="29"/>
      <c r="W66" s="29"/>
    </row>
    <row r="67" spans="1:23" s="1" customFormat="1" ht="15" customHeight="1" x14ac:dyDescent="0.25">
      <c r="B67" s="327"/>
      <c r="C67" s="328"/>
      <c r="D67" s="329"/>
      <c r="E67" s="161"/>
      <c r="F67" s="327"/>
      <c r="G67" s="328"/>
      <c r="H67" s="328"/>
      <c r="I67" s="328"/>
      <c r="J67" s="328"/>
      <c r="K67" s="329"/>
      <c r="O67" s="29"/>
      <c r="P67" s="29"/>
      <c r="Q67" s="29"/>
      <c r="R67" s="29"/>
      <c r="S67" s="29"/>
      <c r="T67" s="29"/>
      <c r="U67" s="29"/>
      <c r="V67" s="29"/>
      <c r="W67" s="29"/>
    </row>
    <row r="68" spans="1:23" s="1" customFormat="1" ht="15" customHeight="1" x14ac:dyDescent="0.25">
      <c r="B68" s="327"/>
      <c r="C68" s="328"/>
      <c r="D68" s="329"/>
      <c r="E68" s="161"/>
      <c r="F68" s="327"/>
      <c r="G68" s="328"/>
      <c r="H68" s="328"/>
      <c r="I68" s="328"/>
      <c r="J68" s="328"/>
      <c r="K68" s="329"/>
      <c r="O68" s="29"/>
      <c r="P68" s="29"/>
      <c r="Q68" s="29"/>
      <c r="R68" s="29"/>
      <c r="S68" s="29"/>
      <c r="T68" s="29"/>
      <c r="U68" s="29"/>
      <c r="V68" s="29"/>
      <c r="W68" s="29"/>
    </row>
    <row r="69" spans="1:23" s="1" customFormat="1" ht="15" customHeight="1" x14ac:dyDescent="0.25">
      <c r="B69" s="327"/>
      <c r="C69" s="328"/>
      <c r="D69" s="329"/>
      <c r="E69" s="161"/>
      <c r="F69" s="327"/>
      <c r="G69" s="328"/>
      <c r="H69" s="328"/>
      <c r="I69" s="328"/>
      <c r="J69" s="328"/>
      <c r="K69" s="329"/>
      <c r="O69" s="29"/>
      <c r="P69" s="29"/>
      <c r="Q69" s="29"/>
      <c r="R69" s="29"/>
      <c r="S69" s="29"/>
      <c r="T69" s="29"/>
      <c r="U69" s="29"/>
      <c r="V69" s="29"/>
      <c r="W69" s="29"/>
    </row>
    <row r="70" spans="1:23" s="1" customFormat="1" ht="15" customHeight="1" x14ac:dyDescent="0.25">
      <c r="B70" s="327"/>
      <c r="C70" s="328"/>
      <c r="D70" s="329"/>
      <c r="E70" s="161"/>
      <c r="F70" s="327"/>
      <c r="G70" s="328"/>
      <c r="H70" s="328"/>
      <c r="I70" s="328"/>
      <c r="J70" s="328"/>
      <c r="K70" s="329"/>
      <c r="O70" s="29"/>
      <c r="P70" s="29"/>
      <c r="Q70" s="29"/>
      <c r="R70" s="29"/>
      <c r="S70" s="29"/>
      <c r="T70" s="29"/>
      <c r="U70" s="29"/>
      <c r="V70" s="29"/>
      <c r="W70" s="29"/>
    </row>
    <row r="71" spans="1:23" s="1" customFormat="1" ht="15.75" customHeight="1" thickBot="1" x14ac:dyDescent="0.3">
      <c r="B71" s="330"/>
      <c r="C71" s="331"/>
      <c r="D71" s="332"/>
      <c r="E71" s="161"/>
      <c r="F71" s="330"/>
      <c r="G71" s="331"/>
      <c r="H71" s="331"/>
      <c r="I71" s="331"/>
      <c r="J71" s="331"/>
      <c r="K71" s="332"/>
      <c r="O71" s="29"/>
      <c r="P71" s="29"/>
      <c r="Q71" s="29"/>
      <c r="R71" s="29"/>
      <c r="S71" s="29"/>
      <c r="T71" s="29"/>
      <c r="U71" s="29"/>
      <c r="V71" s="29"/>
      <c r="W71" s="29"/>
    </row>
    <row r="72" spans="1:23" s="1" customFormat="1" ht="37.200000000000003" customHeight="1" x14ac:dyDescent="0.25">
      <c r="A72" s="1" t="s">
        <v>131</v>
      </c>
      <c r="B72" s="37" t="s">
        <v>132</v>
      </c>
      <c r="C72" s="2"/>
      <c r="K72" s="91"/>
      <c r="O72" s="29"/>
      <c r="P72" s="29"/>
      <c r="Q72" s="29"/>
      <c r="R72" s="29"/>
      <c r="S72" s="29"/>
      <c r="T72" s="29"/>
      <c r="U72" s="29"/>
      <c r="V72" s="29"/>
      <c r="W72" s="29"/>
    </row>
    <row r="73" spans="1:23" s="1" customFormat="1" ht="13.8" x14ac:dyDescent="0.25">
      <c r="B73" s="3"/>
      <c r="C73" s="2"/>
      <c r="K73" s="99"/>
    </row>
    <row r="74" spans="1:23" s="1" customFormat="1" ht="15" customHeight="1" x14ac:dyDescent="0.25">
      <c r="A74" s="11"/>
      <c r="B74" s="78" t="s">
        <v>133</v>
      </c>
      <c r="C74" s="113" t="s">
        <v>188</v>
      </c>
      <c r="D74" s="307" t="s">
        <v>136</v>
      </c>
      <c r="E74" s="307"/>
      <c r="F74" s="307"/>
      <c r="G74" s="307"/>
      <c r="H74" s="307"/>
      <c r="I74" s="322" t="s">
        <v>189</v>
      </c>
      <c r="J74" s="322"/>
      <c r="K74" s="322"/>
    </row>
    <row r="75" spans="1:23" s="1" customFormat="1" ht="62.4" customHeight="1" x14ac:dyDescent="0.25">
      <c r="A75" s="336" t="s">
        <v>137</v>
      </c>
      <c r="B75" s="337"/>
      <c r="C75" s="135"/>
      <c r="D75" s="298"/>
      <c r="E75" s="299"/>
      <c r="F75" s="299"/>
      <c r="G75" s="299"/>
      <c r="H75" s="300"/>
      <c r="I75" s="118" t="s">
        <v>190</v>
      </c>
      <c r="J75" s="323" t="s">
        <v>191</v>
      </c>
      <c r="K75" s="323"/>
    </row>
    <row r="76" spans="1:23" s="1" customFormat="1" ht="27.6" x14ac:dyDescent="0.25">
      <c r="A76" s="60" t="s">
        <v>138</v>
      </c>
      <c r="B76" s="39" t="s">
        <v>192</v>
      </c>
      <c r="C76" s="135"/>
      <c r="D76" s="318"/>
      <c r="E76" s="318"/>
      <c r="F76" s="318"/>
      <c r="G76" s="318"/>
      <c r="H76" s="318"/>
      <c r="I76" s="115"/>
      <c r="J76" s="314"/>
      <c r="K76" s="314"/>
    </row>
    <row r="77" spans="1:23" s="1" customFormat="1" ht="27.6" x14ac:dyDescent="0.25">
      <c r="A77" s="60" t="s">
        <v>140</v>
      </c>
      <c r="B77" s="39" t="s">
        <v>193</v>
      </c>
      <c r="C77" s="135"/>
      <c r="D77" s="319"/>
      <c r="E77" s="320"/>
      <c r="F77" s="320"/>
      <c r="G77" s="320"/>
      <c r="H77" s="321"/>
      <c r="I77" s="115"/>
      <c r="J77" s="314"/>
      <c r="K77" s="314"/>
      <c r="L77" s="4"/>
      <c r="M77" s="4"/>
      <c r="N77" s="4"/>
      <c r="O77" s="4"/>
    </row>
    <row r="78" spans="1:23" s="1" customFormat="1" ht="27.6" x14ac:dyDescent="0.25">
      <c r="A78" s="60" t="s">
        <v>142</v>
      </c>
      <c r="B78" s="39" t="s">
        <v>143</v>
      </c>
      <c r="C78" s="135"/>
      <c r="D78" s="318"/>
      <c r="E78" s="318"/>
      <c r="F78" s="318"/>
      <c r="G78" s="318"/>
      <c r="H78" s="318"/>
      <c r="I78" s="115"/>
      <c r="J78" s="314"/>
      <c r="K78" s="314"/>
      <c r="L78" s="4"/>
      <c r="M78" s="4"/>
      <c r="N78" s="4"/>
      <c r="O78" s="4"/>
    </row>
    <row r="79" spans="1:23" s="1" customFormat="1" ht="27.6" x14ac:dyDescent="0.25">
      <c r="A79" s="60" t="s">
        <v>144</v>
      </c>
      <c r="B79" s="39" t="s">
        <v>145</v>
      </c>
      <c r="C79" s="135"/>
      <c r="D79" s="319"/>
      <c r="E79" s="320"/>
      <c r="F79" s="320"/>
      <c r="G79" s="320"/>
      <c r="H79" s="321"/>
      <c r="I79" s="115"/>
      <c r="J79" s="314"/>
      <c r="K79" s="314"/>
      <c r="L79" s="4"/>
      <c r="M79" s="4"/>
      <c r="N79" s="4"/>
      <c r="O79" s="4"/>
    </row>
    <row r="80" spans="1:23" s="1" customFormat="1" ht="27.6" x14ac:dyDescent="0.25">
      <c r="A80" s="60" t="s">
        <v>146</v>
      </c>
      <c r="B80" s="39" t="s">
        <v>194</v>
      </c>
      <c r="C80" s="135"/>
      <c r="D80" s="318"/>
      <c r="E80" s="318"/>
      <c r="F80" s="318"/>
      <c r="G80" s="318"/>
      <c r="H80" s="318"/>
      <c r="I80" s="115"/>
      <c r="J80" s="314"/>
      <c r="K80" s="314"/>
      <c r="L80" s="4"/>
      <c r="M80" s="4"/>
      <c r="N80" s="4"/>
      <c r="O80" s="4"/>
    </row>
    <row r="81" spans="1:15" s="1" customFormat="1" ht="27.6" x14ac:dyDescent="0.25">
      <c r="A81" s="60" t="s">
        <v>148</v>
      </c>
      <c r="B81" s="39" t="s">
        <v>195</v>
      </c>
      <c r="C81" s="135"/>
      <c r="D81" s="318"/>
      <c r="E81" s="318"/>
      <c r="F81" s="318"/>
      <c r="G81" s="318"/>
      <c r="H81" s="318"/>
      <c r="I81" s="115"/>
      <c r="J81" s="314"/>
      <c r="K81" s="314"/>
      <c r="L81" s="4"/>
      <c r="M81" s="4"/>
      <c r="N81" s="4"/>
      <c r="O81" s="4"/>
    </row>
    <row r="82" spans="1:15" s="1" customFormat="1" ht="33.75" customHeight="1" x14ac:dyDescent="0.25">
      <c r="A82" s="60">
        <v>4</v>
      </c>
      <c r="B82" s="39" t="s">
        <v>150</v>
      </c>
      <c r="C82" s="135"/>
      <c r="D82" s="318"/>
      <c r="E82" s="318"/>
      <c r="F82" s="318"/>
      <c r="G82" s="318"/>
      <c r="H82" s="318"/>
      <c r="I82" s="115"/>
      <c r="J82" s="314"/>
      <c r="K82" s="314"/>
      <c r="L82" s="4"/>
      <c r="M82" s="4"/>
      <c r="N82" s="4"/>
      <c r="O82" s="4"/>
    </row>
    <row r="83" spans="1:15" s="1" customFormat="1" ht="27.6" x14ac:dyDescent="0.25">
      <c r="A83" s="60" t="s">
        <v>196</v>
      </c>
      <c r="B83" s="39" t="s">
        <v>197</v>
      </c>
      <c r="C83" s="135"/>
      <c r="D83" s="318"/>
      <c r="E83" s="318"/>
      <c r="F83" s="318"/>
      <c r="G83" s="318"/>
      <c r="H83" s="318"/>
      <c r="I83" s="115"/>
      <c r="J83" s="314"/>
      <c r="K83" s="314"/>
      <c r="L83" s="4"/>
      <c r="M83" s="4"/>
      <c r="N83" s="4"/>
      <c r="O83" s="4"/>
    </row>
    <row r="84" spans="1:15" s="1" customFormat="1" ht="27.6" x14ac:dyDescent="0.25">
      <c r="A84" s="44" t="s">
        <v>198</v>
      </c>
      <c r="B84" s="103" t="s">
        <v>199</v>
      </c>
      <c r="C84" s="135"/>
      <c r="D84" s="318"/>
      <c r="E84" s="318"/>
      <c r="F84" s="318"/>
      <c r="G84" s="318"/>
      <c r="H84" s="318"/>
      <c r="I84" s="115"/>
      <c r="J84" s="314"/>
      <c r="K84" s="314"/>
    </row>
    <row r="85" spans="1:15" s="1" customFormat="1" ht="27.6" x14ac:dyDescent="0.25">
      <c r="A85" s="44">
        <v>6</v>
      </c>
      <c r="B85" s="112" t="s">
        <v>152</v>
      </c>
      <c r="C85" s="135"/>
      <c r="D85" s="318"/>
      <c r="E85" s="318"/>
      <c r="F85" s="318"/>
      <c r="G85" s="318"/>
      <c r="H85" s="318"/>
      <c r="I85" s="115"/>
      <c r="J85" s="314"/>
      <c r="K85" s="314"/>
    </row>
    <row r="86" spans="1:15" s="1" customFormat="1" ht="13.8" x14ac:dyDescent="0.25">
      <c r="A86" s="44">
        <v>7</v>
      </c>
      <c r="B86" s="116"/>
      <c r="C86" s="135"/>
      <c r="D86" s="318"/>
      <c r="E86" s="318"/>
      <c r="F86" s="318"/>
      <c r="G86" s="318"/>
      <c r="H86" s="318"/>
      <c r="I86" s="115"/>
      <c r="J86" s="314"/>
      <c r="K86" s="314"/>
    </row>
    <row r="87" spans="1:15" s="1" customFormat="1" ht="13.8" x14ac:dyDescent="0.25">
      <c r="A87" s="44">
        <v>8</v>
      </c>
      <c r="B87" s="116"/>
      <c r="C87" s="135"/>
      <c r="D87" s="319"/>
      <c r="E87" s="320"/>
      <c r="F87" s="320"/>
      <c r="G87" s="320"/>
      <c r="H87" s="321"/>
      <c r="I87" s="115"/>
      <c r="J87" s="314"/>
      <c r="K87" s="314"/>
    </row>
    <row r="88" spans="1:15" s="1" customFormat="1" ht="13.8" x14ac:dyDescent="0.25">
      <c r="A88" s="44">
        <v>9</v>
      </c>
      <c r="B88" s="116"/>
      <c r="C88" s="135"/>
      <c r="D88" s="318"/>
      <c r="E88" s="318"/>
      <c r="F88" s="318"/>
      <c r="G88" s="318"/>
      <c r="H88" s="318"/>
      <c r="I88" s="115"/>
      <c r="J88" s="314"/>
      <c r="K88" s="314"/>
    </row>
    <row r="89" spans="1:15" s="1" customFormat="1" ht="13.8" x14ac:dyDescent="0.25">
      <c r="A89" s="44">
        <v>10</v>
      </c>
      <c r="B89" s="116"/>
      <c r="C89" s="135"/>
      <c r="D89" s="318"/>
      <c r="E89" s="318"/>
      <c r="F89" s="318"/>
      <c r="G89" s="318"/>
      <c r="H89" s="318"/>
      <c r="I89" s="115"/>
      <c r="J89" s="314"/>
      <c r="K89" s="314"/>
    </row>
    <row r="90" spans="1:15" s="1" customFormat="1" ht="13.8" x14ac:dyDescent="0.25">
      <c r="A90" s="1" t="s">
        <v>153</v>
      </c>
      <c r="B90" s="9" t="s">
        <v>154</v>
      </c>
      <c r="C90" s="136">
        <f>SUM(C75:C89)</f>
        <v>0</v>
      </c>
      <c r="D90" s="25"/>
      <c r="E90" s="25"/>
      <c r="F90" s="25"/>
      <c r="G90" s="25"/>
    </row>
    <row r="91" spans="1:15" s="1" customFormat="1" ht="27.6" x14ac:dyDescent="0.25">
      <c r="B91" s="62" t="s">
        <v>155</v>
      </c>
      <c r="C91" s="137">
        <f>K60</f>
        <v>0</v>
      </c>
      <c r="D91" s="25"/>
      <c r="E91" s="25"/>
      <c r="F91" s="25"/>
      <c r="G91" s="25"/>
    </row>
    <row r="92" spans="1:15" s="1" customFormat="1" ht="13.8" x14ac:dyDescent="0.25">
      <c r="B92" s="62" t="s">
        <v>156</v>
      </c>
      <c r="C92" s="138">
        <f>C90-C91</f>
        <v>0</v>
      </c>
    </row>
    <row r="93" spans="1:15" s="1" customFormat="1" ht="28.2" thickBot="1" x14ac:dyDescent="0.3">
      <c r="B93" s="62" t="s">
        <v>157</v>
      </c>
      <c r="C93" s="51">
        <f>IF(ISERROR(C92/J53),0,C92/J53)</f>
        <v>0</v>
      </c>
      <c r="D93" s="80" t="str">
        <f>IF(AND(C93&lt;0.01,C93&gt;-0.01),"","Unresolved differences of greater than + or - 1% should be explained")</f>
        <v/>
      </c>
      <c r="F93" s="4"/>
    </row>
    <row r="94" spans="1:15" s="1" customFormat="1" thickTop="1" x14ac:dyDescent="0.25">
      <c r="B94" s="2"/>
      <c r="C94" s="46"/>
      <c r="D94" s="49"/>
      <c r="G94" s="4"/>
    </row>
    <row r="95" spans="1:15" s="1" customFormat="1" ht="13.8" x14ac:dyDescent="0.25">
      <c r="B95" s="2"/>
      <c r="C95" s="46"/>
      <c r="D95" s="32"/>
    </row>
    <row r="96" spans="1:15" s="1" customFormat="1" ht="13.8" x14ac:dyDescent="0.25"/>
    <row r="97" s="1" customFormat="1" ht="13.8" x14ac:dyDescent="0.25"/>
  </sheetData>
  <sheetProtection algorithmName="SHA-512" hashValue="PV+IqItHM/puJYdRryw0AvRVTHtXfj20fvAxudwEyFen75W/PeZrJs8+QSo9Uz/W4AT5RLhHWLleTyap/ocR0A==" saltValue="87rmit5wFipDm3n+mu5R2g==" spinCount="100000" sheet="1" objects="1" scenarios="1"/>
  <mergeCells count="46">
    <mergeCell ref="H61:J61"/>
    <mergeCell ref="B13:C13"/>
    <mergeCell ref="E13:F13"/>
    <mergeCell ref="B19:H19"/>
    <mergeCell ref="B25:F25"/>
    <mergeCell ref="B27:F27"/>
    <mergeCell ref="G59:K59"/>
    <mergeCell ref="G58:K58"/>
    <mergeCell ref="D77:H77"/>
    <mergeCell ref="J77:K77"/>
    <mergeCell ref="H62:J62"/>
    <mergeCell ref="H63:J63"/>
    <mergeCell ref="B65:D71"/>
    <mergeCell ref="F66:K71"/>
    <mergeCell ref="D74:H74"/>
    <mergeCell ref="I74:K74"/>
    <mergeCell ref="A75:B75"/>
    <mergeCell ref="D75:H75"/>
    <mergeCell ref="J75:K75"/>
    <mergeCell ref="D76:H76"/>
    <mergeCell ref="J76:K76"/>
    <mergeCell ref="B64:D64"/>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6:H86"/>
    <mergeCell ref="J86:K86"/>
    <mergeCell ref="D87:H87"/>
    <mergeCell ref="J87:K87"/>
    <mergeCell ref="D88:H88"/>
    <mergeCell ref="J88:K88"/>
    <mergeCell ref="D89:H89"/>
    <mergeCell ref="J89:K89"/>
  </mergeCells>
  <dataValidations count="2">
    <dataValidation type="list" allowBlank="1" showInputMessage="1" showErrorMessage="1" sqref="G27 I76:I89 G25" xr:uid="{050CDEB2-E7CA-4EFC-8A58-5B005098C522}">
      <formula1>"Yes,No"</formula1>
    </dataValidation>
    <dataValidation type="list" sqref="C23" xr:uid="{6923AE24-1770-4268-B145-5BF4DC54538D}">
      <formula1>"1st Estimate, 2nd Estimate, Actual"</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B801-D66F-403C-AFA7-9FECC1AE0CF5}">
  <sheetPr codeName="Sheet6"/>
  <dimension ref="A12:W97"/>
  <sheetViews>
    <sheetView showGridLines="0" topLeftCell="A12" zoomScale="55" zoomScaleNormal="55" workbookViewId="0">
      <selection activeCell="D59" sqref="D59"/>
    </sheetView>
  </sheetViews>
  <sheetFormatPr defaultColWidth="9" defaultRowHeight="14.4" x14ac:dyDescent="0.3"/>
  <cols>
    <col min="1" max="1" width="10.33203125" customWidth="1"/>
    <col min="2" max="2" width="53.88671875" customWidth="1"/>
    <col min="3" max="3" width="28" customWidth="1"/>
    <col min="4" max="4" width="23" customWidth="1"/>
    <col min="5" max="5" width="19" customWidth="1"/>
    <col min="6" max="6" width="24.3320312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1" customFormat="1" ht="13.8" x14ac:dyDescent="0.25">
      <c r="A12" s="4" t="s">
        <v>74</v>
      </c>
      <c r="B12" s="22" t="s">
        <v>75</v>
      </c>
      <c r="C12" s="21"/>
      <c r="D12" s="21"/>
      <c r="E12" s="21"/>
      <c r="F12" s="21"/>
      <c r="I12" s="4"/>
      <c r="J12" s="4"/>
      <c r="K12" s="4"/>
      <c r="L12" s="4"/>
      <c r="M12" s="4"/>
      <c r="N12" s="4"/>
      <c r="O12" s="4"/>
      <c r="P12" s="4"/>
      <c r="Q12" s="4"/>
      <c r="R12" s="4"/>
      <c r="S12" s="4"/>
    </row>
    <row r="13" spans="1:19" s="1" customFormat="1" ht="13.8" x14ac:dyDescent="0.25">
      <c r="A13" s="4"/>
      <c r="B13" s="302" t="s">
        <v>4</v>
      </c>
      <c r="C13" s="302"/>
      <c r="D13" s="121">
        <v>2018</v>
      </c>
      <c r="E13" s="303"/>
      <c r="F13" s="304"/>
      <c r="G13" s="4"/>
      <c r="H13" s="4"/>
      <c r="I13" s="4"/>
      <c r="J13" s="4"/>
      <c r="K13" s="4"/>
      <c r="L13" s="4"/>
      <c r="M13" s="4"/>
      <c r="N13" s="4"/>
      <c r="O13" s="4"/>
      <c r="P13" s="4"/>
      <c r="Q13" s="4"/>
    </row>
    <row r="14" spans="1:19" s="1" customFormat="1" thickBot="1" x14ac:dyDescent="0.3">
      <c r="A14" s="4"/>
      <c r="B14" s="5" t="s">
        <v>76</v>
      </c>
      <c r="C14" s="6" t="s">
        <v>77</v>
      </c>
      <c r="D14" s="124">
        <f>VLOOKUP('1. Information Sheet'!$C$17,RRR_2018!$B$4:$U$68,19,FALSE)</f>
        <v>907643863</v>
      </c>
      <c r="E14" s="6" t="s">
        <v>78</v>
      </c>
      <c r="F14" s="256">
        <v>1</v>
      </c>
      <c r="G14" s="4"/>
      <c r="H14" s="4"/>
      <c r="I14" s="4"/>
      <c r="J14" s="4"/>
      <c r="K14" s="4"/>
      <c r="L14" s="4"/>
      <c r="M14" s="4"/>
      <c r="N14" s="4"/>
      <c r="O14" s="4"/>
      <c r="P14" s="4"/>
      <c r="Q14" s="4"/>
    </row>
    <row r="15" spans="1:19" s="1" customFormat="1" thickBot="1" x14ac:dyDescent="0.3">
      <c r="B15" s="5" t="s">
        <v>79</v>
      </c>
      <c r="C15" s="6" t="s">
        <v>80</v>
      </c>
      <c r="D15" s="124">
        <f>VLOOKUP('1. Information Sheet'!$C$17,RRR_2018!$B$4:$U$68,7,FALSE)</f>
        <v>423561691</v>
      </c>
      <c r="E15" s="6" t="s">
        <v>78</v>
      </c>
      <c r="F15" s="257">
        <f>IFERROR(D15/$D$14,0)</f>
        <v>0.46666066754422597</v>
      </c>
    </row>
    <row r="16" spans="1:19" s="1" customFormat="1" thickBot="1" x14ac:dyDescent="0.3">
      <c r="B16" s="5" t="s">
        <v>81</v>
      </c>
      <c r="C16" s="6" t="s">
        <v>82</v>
      </c>
      <c r="D16" s="124">
        <f>VLOOKUP('1. Information Sheet'!$C$17,RRR_2018!$B$4:$U$68,20,FALSE)</f>
        <v>484082172</v>
      </c>
      <c r="E16" s="6" t="s">
        <v>78</v>
      </c>
      <c r="F16" s="257">
        <f>IFERROR(D16/$D$14,0)</f>
        <v>0.53333933245577403</v>
      </c>
    </row>
    <row r="17" spans="1:8" s="1" customFormat="1" thickBot="1" x14ac:dyDescent="0.3">
      <c r="B17" s="5" t="s">
        <v>83</v>
      </c>
      <c r="C17" s="6" t="s">
        <v>84</v>
      </c>
      <c r="D17" s="124">
        <f>VLOOKUP('1. Information Sheet'!$C$17,RRR_2018!$B$4:$U$68,13,FALSE)</f>
        <v>243610967</v>
      </c>
      <c r="E17" s="6" t="s">
        <v>78</v>
      </c>
      <c r="F17" s="257">
        <f>IFERROR(D17/$D$14,0)</f>
        <v>0.26839928845527822</v>
      </c>
    </row>
    <row r="18" spans="1:8" s="1" customFormat="1" thickBot="1" x14ac:dyDescent="0.3">
      <c r="B18" s="5" t="s">
        <v>85</v>
      </c>
      <c r="C18" s="6" t="s">
        <v>86</v>
      </c>
      <c r="D18" s="124">
        <f>D16-D17</f>
        <v>240471205</v>
      </c>
      <c r="E18" s="6" t="s">
        <v>78</v>
      </c>
      <c r="F18" s="257">
        <f>IFERROR(D18/$D$14,0)</f>
        <v>0.26494004400049581</v>
      </c>
    </row>
    <row r="19" spans="1:8" s="1" customFormat="1" ht="34.5" customHeight="1" x14ac:dyDescent="0.25">
      <c r="B19" s="305" t="s">
        <v>87</v>
      </c>
      <c r="C19" s="305"/>
      <c r="D19" s="305"/>
      <c r="E19" s="305"/>
      <c r="F19" s="305"/>
      <c r="G19" s="306"/>
      <c r="H19" s="306"/>
    </row>
    <row r="20" spans="1:8" s="1" customFormat="1" ht="13.8" x14ac:dyDescent="0.25">
      <c r="D20" s="96"/>
    </row>
    <row r="21" spans="1:8" s="1" customFormat="1" ht="13.8" x14ac:dyDescent="0.25">
      <c r="A21" s="1" t="s">
        <v>88</v>
      </c>
      <c r="B21" s="3" t="s">
        <v>89</v>
      </c>
    </row>
    <row r="22" spans="1:8" s="1" customFormat="1" ht="13.8" x14ac:dyDescent="0.25">
      <c r="B22" s="3"/>
    </row>
    <row r="23" spans="1:8" s="1" customFormat="1" ht="13.8" x14ac:dyDescent="0.25">
      <c r="B23" s="2" t="s">
        <v>90</v>
      </c>
      <c r="C23" s="115"/>
      <c r="E23" s="4"/>
    </row>
    <row r="24" spans="1:8" s="1" customFormat="1" ht="13.8" x14ac:dyDescent="0.25">
      <c r="E24" s="4"/>
    </row>
    <row r="25" spans="1:8" s="1" customFormat="1" x14ac:dyDescent="0.3">
      <c r="B25" s="315" t="s">
        <v>166</v>
      </c>
      <c r="C25" s="316"/>
      <c r="D25" s="316"/>
      <c r="E25" s="316"/>
      <c r="F25" s="316"/>
      <c r="G25" s="115"/>
    </row>
    <row r="26" spans="1:8" s="1" customFormat="1" ht="13.8" x14ac:dyDescent="0.25">
      <c r="E26" s="4"/>
    </row>
    <row r="27" spans="1:8" s="1" customFormat="1" x14ac:dyDescent="0.3">
      <c r="B27" s="315" t="s">
        <v>167</v>
      </c>
      <c r="C27" s="316"/>
      <c r="D27" s="316"/>
      <c r="E27" s="316"/>
      <c r="F27" s="316"/>
      <c r="G27" s="115"/>
    </row>
    <row r="28" spans="1:8" s="1" customFormat="1" ht="15" customHeight="1" x14ac:dyDescent="0.25">
      <c r="B28" s="9"/>
      <c r="C28" s="9"/>
      <c r="D28" s="9"/>
      <c r="E28" s="9"/>
      <c r="F28" s="9"/>
      <c r="G28" s="9"/>
      <c r="H28" s="9"/>
    </row>
    <row r="29" spans="1:8" s="1" customFormat="1" ht="15" hidden="1" customHeight="1" x14ac:dyDescent="0.25">
      <c r="B29" s="9"/>
      <c r="C29" s="9"/>
      <c r="D29" s="9"/>
      <c r="E29" s="9"/>
      <c r="F29" s="9"/>
      <c r="G29" s="9"/>
      <c r="H29" s="9"/>
    </row>
    <row r="30" spans="1:8" s="1" customFormat="1" ht="15" hidden="1" customHeight="1" x14ac:dyDescent="0.25">
      <c r="B30" s="9"/>
      <c r="C30" s="9"/>
      <c r="D30" s="9"/>
      <c r="E30" s="9"/>
      <c r="F30" s="9"/>
      <c r="G30" s="9"/>
      <c r="H30" s="9"/>
    </row>
    <row r="31" spans="1:8" s="1" customFormat="1" ht="15" hidden="1" customHeight="1" x14ac:dyDescent="0.25">
      <c r="B31" s="9"/>
      <c r="C31" s="9"/>
      <c r="D31" s="9"/>
      <c r="E31" s="9"/>
      <c r="F31" s="9"/>
      <c r="G31" s="9"/>
      <c r="H31" s="9"/>
    </row>
    <row r="32" spans="1:8" s="1" customFormat="1" ht="14.25" hidden="1" customHeight="1" x14ac:dyDescent="0.25">
      <c r="B32" s="9"/>
      <c r="C32" s="9"/>
      <c r="D32" s="9"/>
      <c r="E32" s="9"/>
      <c r="F32" s="9"/>
      <c r="G32" s="9"/>
      <c r="H32" s="9"/>
    </row>
    <row r="33" spans="1:23" s="1" customFormat="1" ht="14.25" hidden="1" customHeight="1" x14ac:dyDescent="0.25">
      <c r="B33" s="9"/>
      <c r="C33" s="9"/>
      <c r="D33" s="9"/>
      <c r="E33" s="9"/>
      <c r="F33" s="9"/>
      <c r="G33" s="9"/>
      <c r="H33" s="9"/>
    </row>
    <row r="34" spans="1:23" s="1" customFormat="1" ht="14.25" hidden="1" customHeight="1" x14ac:dyDescent="0.25">
      <c r="B34" s="9"/>
      <c r="C34" s="9"/>
      <c r="D34" s="9"/>
      <c r="E34" s="9"/>
      <c r="F34" s="9"/>
      <c r="G34" s="9"/>
      <c r="H34" s="9"/>
    </row>
    <row r="35" spans="1:23" s="1" customFormat="1" ht="14.25" hidden="1" customHeight="1" x14ac:dyDescent="0.25">
      <c r="B35" s="9"/>
      <c r="C35" s="9"/>
      <c r="D35" s="9"/>
      <c r="E35" s="9"/>
      <c r="F35" s="9"/>
      <c r="G35" s="9"/>
      <c r="H35" s="9"/>
    </row>
    <row r="36" spans="1:23" s="1" customFormat="1" ht="13.8" x14ac:dyDescent="0.25"/>
    <row r="37" spans="1:23" s="1" customFormat="1" ht="13.8" x14ac:dyDescent="0.25">
      <c r="A37" s="1" t="s">
        <v>92</v>
      </c>
      <c r="B37" s="37" t="s">
        <v>93</v>
      </c>
      <c r="C37" s="3"/>
    </row>
    <row r="38" spans="1:23" s="1" customFormat="1" ht="15" thickBot="1" x14ac:dyDescent="0.35">
      <c r="B38" s="2" t="s">
        <v>4</v>
      </c>
      <c r="C38" s="122">
        <v>2018</v>
      </c>
      <c r="D38" s="4"/>
      <c r="E38" s="4"/>
      <c r="F38" s="68"/>
      <c r="G38" s="2"/>
      <c r="H38" s="2"/>
      <c r="I38" s="2"/>
      <c r="J38" s="2"/>
      <c r="K38" s="2"/>
      <c r="N38"/>
      <c r="O38"/>
      <c r="P38"/>
      <c r="Q38"/>
      <c r="R38"/>
      <c r="S38"/>
      <c r="T38"/>
      <c r="U38"/>
      <c r="V38"/>
      <c r="W38"/>
    </row>
    <row r="39" spans="1:23" s="9" customFormat="1" ht="99.6" customHeight="1" thickBot="1" x14ac:dyDescent="0.35">
      <c r="B39" s="40" t="s">
        <v>95</v>
      </c>
      <c r="C39" s="52" t="s">
        <v>96</v>
      </c>
      <c r="D39" s="69" t="s">
        <v>97</v>
      </c>
      <c r="E39" s="70" t="s">
        <v>98</v>
      </c>
      <c r="F39" s="57" t="s">
        <v>99</v>
      </c>
      <c r="G39" s="26" t="s">
        <v>100</v>
      </c>
      <c r="H39" s="26" t="s">
        <v>101</v>
      </c>
      <c r="I39" s="26" t="s">
        <v>102</v>
      </c>
      <c r="J39" s="26" t="s">
        <v>103</v>
      </c>
      <c r="K39" s="58" t="s">
        <v>168</v>
      </c>
      <c r="N39"/>
      <c r="O39"/>
      <c r="P39"/>
      <c r="Q39"/>
      <c r="R39"/>
      <c r="S39"/>
      <c r="T39"/>
      <c r="U39"/>
      <c r="V39"/>
      <c r="W39"/>
    </row>
    <row r="40" spans="1:23" s="9" customFormat="1" x14ac:dyDescent="0.3">
      <c r="B40" s="12"/>
      <c r="C40" s="53" t="s">
        <v>105</v>
      </c>
      <c r="D40" s="53" t="s">
        <v>106</v>
      </c>
      <c r="E40" s="54" t="s">
        <v>107</v>
      </c>
      <c r="F40" s="54" t="s">
        <v>108</v>
      </c>
      <c r="G40" s="54" t="s">
        <v>109</v>
      </c>
      <c r="H40" s="55" t="s">
        <v>110</v>
      </c>
      <c r="I40" s="54" t="s">
        <v>111</v>
      </c>
      <c r="J40" s="55" t="s">
        <v>112</v>
      </c>
      <c r="K40" s="56" t="s">
        <v>169</v>
      </c>
      <c r="N40"/>
      <c r="O40"/>
      <c r="P40"/>
      <c r="Q40"/>
      <c r="R40"/>
      <c r="S40"/>
      <c r="T40"/>
      <c r="U40"/>
      <c r="V40"/>
      <c r="W40"/>
    </row>
    <row r="41" spans="1:23" s="1" customFormat="1" x14ac:dyDescent="0.3">
      <c r="B41" s="13" t="s">
        <v>118</v>
      </c>
      <c r="C41" s="125"/>
      <c r="D41" s="125"/>
      <c r="E41" s="126"/>
      <c r="F41" s="127">
        <f>C41-D41+E41</f>
        <v>0</v>
      </c>
      <c r="G41" s="20">
        <f>IF($C$23="1st Estimate",'GA Rates'!T4,IF($C$23="2nd Estimate",'GA Rates'!U4,IF($C$23="Actual",'GA Rates'!V4,0)))</f>
        <v>0</v>
      </c>
      <c r="H41" s="130">
        <f>F41*G41</f>
        <v>0</v>
      </c>
      <c r="I41" s="20">
        <f>'GA Rates'!V4</f>
        <v>6.7360000000000003E-2</v>
      </c>
      <c r="J41" s="132">
        <f>F41*I41</f>
        <v>0</v>
      </c>
      <c r="K41" s="133">
        <f>J41-H41</f>
        <v>0</v>
      </c>
      <c r="N41"/>
      <c r="O41"/>
      <c r="P41"/>
      <c r="Q41"/>
      <c r="R41"/>
      <c r="S41"/>
      <c r="T41"/>
      <c r="U41"/>
      <c r="V41"/>
      <c r="W41"/>
    </row>
    <row r="42" spans="1:23" s="1" customFormat="1" x14ac:dyDescent="0.3">
      <c r="B42" s="13" t="s">
        <v>119</v>
      </c>
      <c r="C42" s="125"/>
      <c r="D42" s="125"/>
      <c r="E42" s="126"/>
      <c r="F42" s="127">
        <f t="shared" ref="F42:F52" si="0">C42-D42+E42</f>
        <v>0</v>
      </c>
      <c r="G42" s="20">
        <f>IF($C$23="1st Estimate",'GA Rates'!T5,IF($C$23="2nd Estimate",'GA Rates'!U5,IF($C$23="Actual",'GA Rates'!V5,0)))</f>
        <v>0</v>
      </c>
      <c r="H42" s="130">
        <f t="shared" ref="H42:H52" si="1">F42*G42</f>
        <v>0</v>
      </c>
      <c r="I42" s="20">
        <f>'GA Rates'!V5</f>
        <v>8.1670000000000006E-2</v>
      </c>
      <c r="J42" s="132">
        <f t="shared" ref="J42:J52" si="2">F42*I42</f>
        <v>0</v>
      </c>
      <c r="K42" s="133">
        <f t="shared" ref="K42:K52" si="3">J42-H42</f>
        <v>0</v>
      </c>
      <c r="N42"/>
      <c r="O42"/>
      <c r="P42"/>
      <c r="Q42"/>
      <c r="R42"/>
      <c r="S42"/>
      <c r="T42"/>
      <c r="U42"/>
      <c r="V42"/>
      <c r="W42"/>
    </row>
    <row r="43" spans="1:23" s="1" customFormat="1" x14ac:dyDescent="0.3">
      <c r="B43" s="13" t="s">
        <v>120</v>
      </c>
      <c r="C43" s="125"/>
      <c r="D43" s="125"/>
      <c r="E43" s="126"/>
      <c r="F43" s="127">
        <f t="shared" si="0"/>
        <v>0</v>
      </c>
      <c r="G43" s="20">
        <f>IF($C$23="1st Estimate",'GA Rates'!T6,IF($C$23="2nd Estimate",'GA Rates'!U6,IF($C$23="Actual",'GA Rates'!V6,0)))</f>
        <v>0</v>
      </c>
      <c r="H43" s="130">
        <f t="shared" si="1"/>
        <v>0</v>
      </c>
      <c r="I43" s="20">
        <f>'GA Rates'!V6</f>
        <v>9.4810000000000005E-2</v>
      </c>
      <c r="J43" s="132">
        <f t="shared" si="2"/>
        <v>0</v>
      </c>
      <c r="K43" s="133">
        <f t="shared" si="3"/>
        <v>0</v>
      </c>
      <c r="N43"/>
      <c r="O43"/>
      <c r="P43"/>
      <c r="Q43"/>
      <c r="R43"/>
      <c r="S43"/>
      <c r="T43"/>
      <c r="U43"/>
      <c r="V43"/>
      <c r="W43"/>
    </row>
    <row r="44" spans="1:23" s="1" customFormat="1" x14ac:dyDescent="0.3">
      <c r="B44" s="13" t="s">
        <v>121</v>
      </c>
      <c r="C44" s="125"/>
      <c r="D44" s="125"/>
      <c r="E44" s="126"/>
      <c r="F44" s="127">
        <f t="shared" si="0"/>
        <v>0</v>
      </c>
      <c r="G44" s="20">
        <f>IF($C$23="1st Estimate",'GA Rates'!T7,IF($C$23="2nd Estimate",'GA Rates'!U7,IF($C$23="Actual",'GA Rates'!V7,0)))</f>
        <v>0</v>
      </c>
      <c r="H44" s="130">
        <f t="shared" si="1"/>
        <v>0</v>
      </c>
      <c r="I44" s="20">
        <f>'GA Rates'!V7</f>
        <v>9.9589999999999998E-2</v>
      </c>
      <c r="J44" s="132">
        <f t="shared" si="2"/>
        <v>0</v>
      </c>
      <c r="K44" s="133">
        <f t="shared" si="3"/>
        <v>0</v>
      </c>
      <c r="N44"/>
      <c r="O44"/>
      <c r="P44"/>
      <c r="Q44"/>
      <c r="R44"/>
      <c r="S44"/>
      <c r="T44"/>
      <c r="U44"/>
      <c r="V44"/>
      <c r="W44"/>
    </row>
    <row r="45" spans="1:23" s="1" customFormat="1" x14ac:dyDescent="0.3">
      <c r="B45" s="13" t="s">
        <v>122</v>
      </c>
      <c r="C45" s="125"/>
      <c r="D45" s="125"/>
      <c r="E45" s="126"/>
      <c r="F45" s="127">
        <f t="shared" si="0"/>
        <v>0</v>
      </c>
      <c r="G45" s="20">
        <f>IF($C$23="1st Estimate",'GA Rates'!T8,IF($C$23="2nd Estimate",'GA Rates'!U8,IF($C$23="Actual",'GA Rates'!V8,0)))</f>
        <v>0</v>
      </c>
      <c r="H45" s="130">
        <f t="shared" si="1"/>
        <v>0</v>
      </c>
      <c r="I45" s="20">
        <f>'GA Rates'!V8</f>
        <v>0.10793000000000001</v>
      </c>
      <c r="J45" s="132">
        <f t="shared" si="2"/>
        <v>0</v>
      </c>
      <c r="K45" s="133">
        <f t="shared" si="3"/>
        <v>0</v>
      </c>
      <c r="N45"/>
      <c r="O45"/>
      <c r="P45"/>
      <c r="Q45"/>
      <c r="R45"/>
      <c r="S45"/>
      <c r="T45"/>
      <c r="U45"/>
      <c r="V45"/>
      <c r="W45"/>
    </row>
    <row r="46" spans="1:23" s="1" customFormat="1" x14ac:dyDescent="0.3">
      <c r="B46" s="13" t="s">
        <v>123</v>
      </c>
      <c r="C46" s="125"/>
      <c r="D46" s="125"/>
      <c r="E46" s="126"/>
      <c r="F46" s="127">
        <f t="shared" si="0"/>
        <v>0</v>
      </c>
      <c r="G46" s="20">
        <f>IF($C$23="1st Estimate",'GA Rates'!T9,IF($C$23="2nd Estimate",'GA Rates'!U9,IF($C$23="Actual",'GA Rates'!V9,0)))</f>
        <v>0</v>
      </c>
      <c r="H46" s="130">
        <f t="shared" si="1"/>
        <v>0</v>
      </c>
      <c r="I46" s="20">
        <f>'GA Rates'!V9</f>
        <v>0.11896</v>
      </c>
      <c r="J46" s="132">
        <f t="shared" si="2"/>
        <v>0</v>
      </c>
      <c r="K46" s="133">
        <f t="shared" si="3"/>
        <v>0</v>
      </c>
      <c r="N46"/>
      <c r="O46"/>
      <c r="P46"/>
      <c r="Q46"/>
      <c r="R46"/>
      <c r="S46"/>
      <c r="T46"/>
      <c r="U46"/>
      <c r="V46"/>
      <c r="W46"/>
    </row>
    <row r="47" spans="1:23" s="1" customFormat="1" x14ac:dyDescent="0.3">
      <c r="B47" s="13" t="s">
        <v>124</v>
      </c>
      <c r="C47" s="126"/>
      <c r="D47" s="125"/>
      <c r="E47" s="126"/>
      <c r="F47" s="127">
        <f t="shared" si="0"/>
        <v>0</v>
      </c>
      <c r="G47" s="20">
        <f>IF($C$23="1st Estimate",'GA Rates'!T10,IF($C$23="2nd Estimate",'GA Rates'!U10,IF($C$23="Actual",'GA Rates'!V10,0)))</f>
        <v>0</v>
      </c>
      <c r="H47" s="130">
        <f t="shared" si="1"/>
        <v>0</v>
      </c>
      <c r="I47" s="20">
        <f>'GA Rates'!V10</f>
        <v>7.7370000000000008E-2</v>
      </c>
      <c r="J47" s="132">
        <f t="shared" si="2"/>
        <v>0</v>
      </c>
      <c r="K47" s="133">
        <f t="shared" si="3"/>
        <v>0</v>
      </c>
      <c r="N47"/>
      <c r="O47"/>
      <c r="P47"/>
      <c r="Q47"/>
      <c r="R47"/>
      <c r="S47"/>
      <c r="T47"/>
      <c r="U47"/>
      <c r="V47"/>
      <c r="W47"/>
    </row>
    <row r="48" spans="1:23" s="1" customFormat="1" x14ac:dyDescent="0.3">
      <c r="B48" s="13" t="s">
        <v>125</v>
      </c>
      <c r="C48" s="126"/>
      <c r="D48" s="125"/>
      <c r="E48" s="126"/>
      <c r="F48" s="127">
        <f t="shared" si="0"/>
        <v>0</v>
      </c>
      <c r="G48" s="20">
        <f>IF($C$23="1st Estimate",'GA Rates'!T11,IF($C$23="2nd Estimate",'GA Rates'!U11,IF($C$23="Actual",'GA Rates'!V11,0)))</f>
        <v>0</v>
      </c>
      <c r="H48" s="130">
        <f t="shared" si="1"/>
        <v>0</v>
      </c>
      <c r="I48" s="20">
        <f>'GA Rates'!V11</f>
        <v>7.4900000000000008E-2</v>
      </c>
      <c r="J48" s="132">
        <f t="shared" si="2"/>
        <v>0</v>
      </c>
      <c r="K48" s="133">
        <f t="shared" si="3"/>
        <v>0</v>
      </c>
      <c r="N48"/>
      <c r="O48"/>
      <c r="P48"/>
      <c r="Q48"/>
      <c r="R48"/>
      <c r="S48"/>
      <c r="T48"/>
      <c r="U48"/>
      <c r="V48"/>
      <c r="W48"/>
    </row>
    <row r="49" spans="2:23" s="1" customFormat="1" x14ac:dyDescent="0.3">
      <c r="B49" s="13" t="s">
        <v>126</v>
      </c>
      <c r="C49" s="126"/>
      <c r="D49" s="125"/>
      <c r="E49" s="126"/>
      <c r="F49" s="127">
        <f t="shared" si="0"/>
        <v>0</v>
      </c>
      <c r="G49" s="20">
        <f>IF($C$23="1st Estimate",'GA Rates'!T12,IF($C$23="2nd Estimate",'GA Rates'!U12,IF($C$23="Actual",'GA Rates'!V12,0)))</f>
        <v>0</v>
      </c>
      <c r="H49" s="130">
        <f t="shared" si="1"/>
        <v>0</v>
      </c>
      <c r="I49" s="20">
        <f>'GA Rates'!V12</f>
        <v>8.584E-2</v>
      </c>
      <c r="J49" s="132">
        <f t="shared" si="2"/>
        <v>0</v>
      </c>
      <c r="K49" s="133">
        <f t="shared" si="3"/>
        <v>0</v>
      </c>
      <c r="N49"/>
      <c r="O49"/>
      <c r="P49"/>
      <c r="Q49"/>
      <c r="R49"/>
      <c r="S49"/>
      <c r="T49"/>
      <c r="U49"/>
      <c r="V49"/>
      <c r="W49"/>
    </row>
    <row r="50" spans="2:23" s="1" customFormat="1" x14ac:dyDescent="0.3">
      <c r="B50" s="13" t="s">
        <v>127</v>
      </c>
      <c r="C50" s="126"/>
      <c r="D50" s="125"/>
      <c r="E50" s="126"/>
      <c r="F50" s="127">
        <f t="shared" si="0"/>
        <v>0</v>
      </c>
      <c r="G50" s="20">
        <f>IF($C$23="1st Estimate",'GA Rates'!T13,IF($C$23="2nd Estimate",'GA Rates'!U13,IF($C$23="Actual",'GA Rates'!V13,0)))</f>
        <v>0</v>
      </c>
      <c r="H50" s="130">
        <f t="shared" si="1"/>
        <v>0</v>
      </c>
      <c r="I50" s="20">
        <f>'GA Rates'!V13</f>
        <v>0.12059</v>
      </c>
      <c r="J50" s="132">
        <f t="shared" si="2"/>
        <v>0</v>
      </c>
      <c r="K50" s="133">
        <f t="shared" si="3"/>
        <v>0</v>
      </c>
      <c r="N50"/>
      <c r="O50"/>
      <c r="P50"/>
      <c r="Q50"/>
      <c r="R50"/>
      <c r="S50"/>
      <c r="T50"/>
      <c r="U50"/>
      <c r="V50"/>
      <c r="W50"/>
    </row>
    <row r="51" spans="2:23" s="1" customFormat="1" x14ac:dyDescent="0.3">
      <c r="B51" s="13" t="s">
        <v>128</v>
      </c>
      <c r="C51" s="126"/>
      <c r="D51" s="125"/>
      <c r="E51" s="126"/>
      <c r="F51" s="127">
        <f t="shared" si="0"/>
        <v>0</v>
      </c>
      <c r="G51" s="20">
        <f>IF($C$23="1st Estimate",'GA Rates'!T14,IF($C$23="2nd Estimate",'GA Rates'!U14,IF($C$23="Actual",'GA Rates'!V14,0)))</f>
        <v>0</v>
      </c>
      <c r="H51" s="130">
        <f t="shared" si="1"/>
        <v>0</v>
      </c>
      <c r="I51" s="20">
        <f>'GA Rates'!V14</f>
        <v>9.8549999999999999E-2</v>
      </c>
      <c r="J51" s="132">
        <f t="shared" si="2"/>
        <v>0</v>
      </c>
      <c r="K51" s="133">
        <f t="shared" si="3"/>
        <v>0</v>
      </c>
      <c r="N51"/>
      <c r="O51"/>
      <c r="P51"/>
      <c r="Q51"/>
      <c r="R51"/>
      <c r="S51"/>
      <c r="T51"/>
      <c r="U51"/>
      <c r="V51"/>
      <c r="W51"/>
    </row>
    <row r="52" spans="2:23" s="1" customFormat="1" x14ac:dyDescent="0.3">
      <c r="B52" s="13" t="s">
        <v>129</v>
      </c>
      <c r="C52" s="128"/>
      <c r="D52" s="125"/>
      <c r="E52" s="126"/>
      <c r="F52" s="127">
        <f t="shared" si="0"/>
        <v>0</v>
      </c>
      <c r="G52" s="20">
        <f>IF($C$23="1st Estimate",'GA Rates'!T15,IF($C$23="2nd Estimate",'GA Rates'!U15,IF($C$23="Actual",'GA Rates'!V15,0)))</f>
        <v>0</v>
      </c>
      <c r="H52" s="130">
        <f t="shared" si="1"/>
        <v>0</v>
      </c>
      <c r="I52" s="20">
        <f>'GA Rates'!V15</f>
        <v>7.4040000000000009E-2</v>
      </c>
      <c r="J52" s="132">
        <f t="shared" si="2"/>
        <v>0</v>
      </c>
      <c r="K52" s="133">
        <f t="shared" si="3"/>
        <v>0</v>
      </c>
      <c r="N52"/>
      <c r="O52"/>
      <c r="P52"/>
      <c r="Q52"/>
      <c r="R52"/>
      <c r="S52"/>
      <c r="T52"/>
      <c r="U52"/>
      <c r="V52"/>
      <c r="W52"/>
    </row>
    <row r="53" spans="2:23" s="1" customFormat="1" ht="28.8" thickBot="1" x14ac:dyDescent="0.35">
      <c r="B53" s="102" t="s">
        <v>130</v>
      </c>
      <c r="C53" s="129">
        <f>SUM(C41:C52)</f>
        <v>0</v>
      </c>
      <c r="D53" s="129">
        <f>SUM(D41:D52)</f>
        <v>0</v>
      </c>
      <c r="E53" s="129">
        <f>SUM(E41:E52)</f>
        <v>0</v>
      </c>
      <c r="F53" s="129">
        <f>SUM(F41:F52)</f>
        <v>0</v>
      </c>
      <c r="G53" s="33"/>
      <c r="H53" s="131">
        <f>SUM(H41:H52)</f>
        <v>0</v>
      </c>
      <c r="I53" s="33"/>
      <c r="J53" s="131">
        <f>SUM(J41:J52)</f>
        <v>0</v>
      </c>
      <c r="K53" s="134">
        <f>SUM(K41:K52)</f>
        <v>0</v>
      </c>
      <c r="N53"/>
      <c r="O53"/>
      <c r="P53"/>
      <c r="Q53"/>
      <c r="R53"/>
      <c r="S53"/>
      <c r="T53"/>
      <c r="U53"/>
      <c r="V53"/>
      <c r="W53"/>
    </row>
    <row r="54" spans="2:23" s="1" customFormat="1" ht="15" thickBot="1" x14ac:dyDescent="0.35">
      <c r="B54" s="62"/>
      <c r="C54" s="177"/>
      <c r="D54" s="177"/>
      <c r="E54" s="177"/>
      <c r="F54" s="177"/>
      <c r="G54" s="2"/>
      <c r="H54" s="178"/>
      <c r="I54" s="2"/>
      <c r="J54" s="178"/>
      <c r="K54" s="178"/>
      <c r="N54"/>
      <c r="O54"/>
      <c r="P54"/>
      <c r="Q54"/>
      <c r="R54"/>
      <c r="S54"/>
      <c r="T54"/>
      <c r="U54"/>
      <c r="V54"/>
      <c r="W54"/>
    </row>
    <row r="55" spans="2:23" s="1" customFormat="1" ht="55.8" x14ac:dyDescent="0.3">
      <c r="B55" s="62"/>
      <c r="C55" s="177"/>
      <c r="D55" s="177"/>
      <c r="E55" s="177"/>
      <c r="F55" s="177"/>
      <c r="G55" s="182" t="s">
        <v>170</v>
      </c>
      <c r="H55" s="183" t="s">
        <v>171</v>
      </c>
      <c r="I55" s="54" t="s">
        <v>172</v>
      </c>
      <c r="J55" s="184" t="s">
        <v>173</v>
      </c>
      <c r="K55" s="185" t="s">
        <v>174</v>
      </c>
      <c r="N55"/>
      <c r="O55"/>
      <c r="P55"/>
      <c r="Q55"/>
      <c r="R55"/>
      <c r="S55"/>
      <c r="T55"/>
      <c r="U55"/>
      <c r="V55"/>
      <c r="W55"/>
    </row>
    <row r="56" spans="2:23" s="1" customFormat="1" ht="13.8" x14ac:dyDescent="0.25">
      <c r="G56" s="186" t="s">
        <v>175</v>
      </c>
      <c r="H56" s="187" t="s">
        <v>176</v>
      </c>
      <c r="I56" s="188" t="s">
        <v>177</v>
      </c>
      <c r="J56" s="189" t="s">
        <v>178</v>
      </c>
      <c r="K56" s="190" t="s">
        <v>179</v>
      </c>
      <c r="O56" s="29"/>
      <c r="P56" s="29"/>
      <c r="Q56" s="29"/>
      <c r="R56" s="29"/>
      <c r="S56" s="29"/>
      <c r="T56" s="29"/>
      <c r="U56" s="29"/>
      <c r="V56" s="29"/>
      <c r="W56" s="29"/>
    </row>
    <row r="57" spans="2:23" s="1" customFormat="1" thickBot="1" x14ac:dyDescent="0.3">
      <c r="G57" s="261"/>
      <c r="H57" s="221">
        <f>F53</f>
        <v>0</v>
      </c>
      <c r="I57" s="221">
        <f>G57-H57</f>
        <v>0</v>
      </c>
      <c r="J57" s="264"/>
      <c r="K57" s="220">
        <f>I57*J57</f>
        <v>0</v>
      </c>
      <c r="O57" s="29"/>
      <c r="P57" s="29"/>
      <c r="Q57" s="29"/>
      <c r="R57" s="29"/>
      <c r="S57" s="29"/>
      <c r="T57" s="29"/>
      <c r="U57" s="29"/>
      <c r="V57" s="29"/>
      <c r="W57" s="29"/>
    </row>
    <row r="58" spans="2:23" s="1" customFormat="1" ht="25.95" customHeight="1" x14ac:dyDescent="0.25">
      <c r="G58" s="335" t="s">
        <v>180</v>
      </c>
      <c r="H58" s="335"/>
      <c r="I58" s="335"/>
      <c r="J58" s="335"/>
      <c r="K58" s="335"/>
      <c r="O58" s="29"/>
      <c r="P58" s="29"/>
      <c r="Q58" s="29"/>
      <c r="R58" s="29"/>
      <c r="S58" s="29"/>
      <c r="T58" s="29"/>
      <c r="U58" s="29"/>
      <c r="V58" s="29"/>
      <c r="W58" s="29"/>
    </row>
    <row r="59" spans="2:23" s="1" customFormat="1" ht="43.95" customHeight="1" thickBot="1" x14ac:dyDescent="0.3">
      <c r="G59" s="334" t="s">
        <v>200</v>
      </c>
      <c r="H59" s="334"/>
      <c r="I59" s="334"/>
      <c r="J59" s="334"/>
      <c r="K59" s="334"/>
      <c r="O59" s="29"/>
      <c r="P59" s="29"/>
      <c r="Q59" s="29"/>
      <c r="R59" s="29"/>
      <c r="S59" s="29"/>
      <c r="T59" s="29"/>
      <c r="U59" s="29"/>
      <c r="V59" s="29"/>
      <c r="W59" s="29"/>
    </row>
    <row r="60" spans="2:23" s="1" customFormat="1" thickBot="1" x14ac:dyDescent="0.3">
      <c r="G60" s="179"/>
      <c r="H60" s="180"/>
      <c r="I60" s="181"/>
      <c r="J60" s="191" t="s">
        <v>182</v>
      </c>
      <c r="K60" s="192">
        <f>K53+K57</f>
        <v>0</v>
      </c>
      <c r="O60" s="29"/>
      <c r="P60" s="29"/>
      <c r="Q60" s="29"/>
      <c r="R60" s="29"/>
      <c r="S60" s="29"/>
      <c r="T60" s="29"/>
      <c r="U60" s="29"/>
      <c r="V60" s="29"/>
      <c r="W60" s="29"/>
    </row>
    <row r="61" spans="2:23" s="1" customFormat="1" ht="42" customHeight="1" x14ac:dyDescent="0.25">
      <c r="H61" s="317" t="s">
        <v>183</v>
      </c>
      <c r="I61" s="317"/>
      <c r="J61" s="317"/>
      <c r="K61" s="239">
        <f>IFERROR(F53/D18,0)</f>
        <v>0</v>
      </c>
      <c r="O61" s="29"/>
      <c r="P61" s="29"/>
      <c r="Q61" s="29"/>
      <c r="R61" s="29"/>
      <c r="S61" s="29"/>
      <c r="T61" s="29"/>
      <c r="U61" s="29"/>
      <c r="V61" s="29"/>
      <c r="W61" s="29"/>
    </row>
    <row r="62" spans="2:23" s="1" customFormat="1" ht="30" customHeight="1" x14ac:dyDescent="0.25">
      <c r="H62" s="317" t="s">
        <v>184</v>
      </c>
      <c r="I62" s="317"/>
      <c r="J62" s="317"/>
      <c r="K62" s="237"/>
      <c r="O62" s="29"/>
      <c r="P62" s="29"/>
      <c r="Q62" s="29"/>
      <c r="R62" s="29"/>
      <c r="S62" s="29"/>
      <c r="T62" s="29"/>
      <c r="U62" s="29"/>
      <c r="V62" s="29"/>
      <c r="W62" s="29"/>
    </row>
    <row r="63" spans="2:23" s="1" customFormat="1" ht="13.8" x14ac:dyDescent="0.25">
      <c r="H63" s="317" t="s">
        <v>185</v>
      </c>
      <c r="I63" s="317"/>
      <c r="J63" s="317"/>
      <c r="K63" s="111">
        <f>K61-K62</f>
        <v>0</v>
      </c>
      <c r="O63" s="29"/>
      <c r="P63" s="29"/>
      <c r="Q63" s="29"/>
      <c r="R63" s="29"/>
      <c r="S63" s="29"/>
      <c r="T63" s="29"/>
      <c r="U63" s="29"/>
      <c r="V63" s="29"/>
      <c r="W63" s="29"/>
    </row>
    <row r="64" spans="2:23" s="1" customFormat="1" ht="27.6" customHeight="1" thickBot="1" x14ac:dyDescent="0.3">
      <c r="B64" s="333" t="s">
        <v>186</v>
      </c>
      <c r="C64" s="333"/>
      <c r="D64" s="333"/>
      <c r="H64" s="149"/>
      <c r="I64" s="149"/>
      <c r="J64" s="149"/>
      <c r="K64" s="111"/>
      <c r="O64" s="29"/>
      <c r="P64" s="29"/>
      <c r="Q64" s="29"/>
      <c r="R64" s="29"/>
      <c r="S64" s="29"/>
      <c r="T64" s="29"/>
      <c r="U64" s="29"/>
      <c r="V64" s="29"/>
      <c r="W64" s="29"/>
    </row>
    <row r="65" spans="1:23" s="1" customFormat="1" thickBot="1" x14ac:dyDescent="0.3">
      <c r="B65" s="324"/>
      <c r="C65" s="325"/>
      <c r="D65" s="326"/>
      <c r="E65" s="161"/>
      <c r="F65" s="2" t="s">
        <v>187</v>
      </c>
      <c r="H65" s="149"/>
      <c r="I65" s="149"/>
      <c r="J65" s="149"/>
      <c r="K65" s="111"/>
      <c r="O65" s="29"/>
      <c r="P65" s="29"/>
      <c r="Q65" s="29"/>
      <c r="R65" s="29"/>
      <c r="S65" s="29"/>
      <c r="T65" s="29"/>
      <c r="U65" s="29"/>
      <c r="V65" s="29"/>
      <c r="W65" s="29"/>
    </row>
    <row r="66" spans="1:23" s="1" customFormat="1" ht="15" customHeight="1" x14ac:dyDescent="0.25">
      <c r="B66" s="327"/>
      <c r="C66" s="328"/>
      <c r="D66" s="329"/>
      <c r="E66" s="161"/>
      <c r="F66" s="324"/>
      <c r="G66" s="325"/>
      <c r="H66" s="325"/>
      <c r="I66" s="325"/>
      <c r="J66" s="325"/>
      <c r="K66" s="326"/>
      <c r="O66" s="29"/>
      <c r="P66" s="29"/>
      <c r="Q66" s="29"/>
      <c r="R66" s="29"/>
      <c r="S66" s="29"/>
      <c r="T66" s="29"/>
      <c r="U66" s="29"/>
      <c r="V66" s="29"/>
      <c r="W66" s="29"/>
    </row>
    <row r="67" spans="1:23" s="1" customFormat="1" ht="15" customHeight="1" x14ac:dyDescent="0.25">
      <c r="B67" s="327"/>
      <c r="C67" s="328"/>
      <c r="D67" s="329"/>
      <c r="E67" s="161"/>
      <c r="F67" s="327"/>
      <c r="G67" s="328"/>
      <c r="H67" s="328"/>
      <c r="I67" s="328"/>
      <c r="J67" s="328"/>
      <c r="K67" s="329"/>
      <c r="O67" s="29"/>
      <c r="P67" s="29"/>
      <c r="Q67" s="29"/>
      <c r="R67" s="29"/>
      <c r="S67" s="29"/>
      <c r="T67" s="29"/>
      <c r="U67" s="29"/>
      <c r="V67" s="29"/>
      <c r="W67" s="29"/>
    </row>
    <row r="68" spans="1:23" s="1" customFormat="1" ht="15" customHeight="1" x14ac:dyDescent="0.25">
      <c r="B68" s="327"/>
      <c r="C68" s="328"/>
      <c r="D68" s="329"/>
      <c r="E68" s="161"/>
      <c r="F68" s="327"/>
      <c r="G68" s="328"/>
      <c r="H68" s="328"/>
      <c r="I68" s="328"/>
      <c r="J68" s="328"/>
      <c r="K68" s="329"/>
      <c r="O68" s="29"/>
      <c r="P68" s="29"/>
      <c r="Q68" s="29"/>
      <c r="R68" s="29"/>
      <c r="S68" s="29"/>
      <c r="T68" s="29"/>
      <c r="U68" s="29"/>
      <c r="V68" s="29"/>
      <c r="W68" s="29"/>
    </row>
    <row r="69" spans="1:23" s="1" customFormat="1" ht="15" customHeight="1" x14ac:dyDescent="0.25">
      <c r="B69" s="327"/>
      <c r="C69" s="328"/>
      <c r="D69" s="329"/>
      <c r="E69" s="161"/>
      <c r="F69" s="327"/>
      <c r="G69" s="328"/>
      <c r="H69" s="328"/>
      <c r="I69" s="328"/>
      <c r="J69" s="328"/>
      <c r="K69" s="329"/>
      <c r="O69" s="29"/>
      <c r="P69" s="29"/>
      <c r="Q69" s="29"/>
      <c r="R69" s="29"/>
      <c r="S69" s="29"/>
      <c r="T69" s="29"/>
      <c r="U69" s="29"/>
      <c r="V69" s="29"/>
      <c r="W69" s="29"/>
    </row>
    <row r="70" spans="1:23" s="1" customFormat="1" ht="15" customHeight="1" x14ac:dyDescent="0.25">
      <c r="B70" s="327"/>
      <c r="C70" s="328"/>
      <c r="D70" s="329"/>
      <c r="E70" s="161"/>
      <c r="F70" s="327"/>
      <c r="G70" s="328"/>
      <c r="H70" s="328"/>
      <c r="I70" s="328"/>
      <c r="J70" s="328"/>
      <c r="K70" s="329"/>
      <c r="O70" s="29"/>
      <c r="P70" s="29"/>
      <c r="Q70" s="29"/>
      <c r="R70" s="29"/>
      <c r="S70" s="29"/>
      <c r="T70" s="29"/>
      <c r="U70" s="29"/>
      <c r="V70" s="29"/>
      <c r="W70" s="29"/>
    </row>
    <row r="71" spans="1:23" s="1" customFormat="1" ht="15.75" customHeight="1" thickBot="1" x14ac:dyDescent="0.3">
      <c r="B71" s="330"/>
      <c r="C71" s="331"/>
      <c r="D71" s="332"/>
      <c r="E71" s="161"/>
      <c r="F71" s="330"/>
      <c r="G71" s="331"/>
      <c r="H71" s="331"/>
      <c r="I71" s="331"/>
      <c r="J71" s="331"/>
      <c r="K71" s="332"/>
      <c r="O71" s="29"/>
      <c r="P71" s="29"/>
      <c r="Q71" s="29"/>
      <c r="R71" s="29"/>
      <c r="S71" s="29"/>
      <c r="T71" s="29"/>
      <c r="U71" s="29"/>
      <c r="V71" s="29"/>
      <c r="W71" s="29"/>
    </row>
    <row r="72" spans="1:23" s="1" customFormat="1" ht="37.200000000000003" customHeight="1" x14ac:dyDescent="0.25">
      <c r="A72" s="1" t="s">
        <v>131</v>
      </c>
      <c r="B72" s="37" t="s">
        <v>132</v>
      </c>
      <c r="C72" s="2"/>
      <c r="K72" s="91"/>
      <c r="O72" s="29"/>
      <c r="P72" s="29"/>
      <c r="Q72" s="29"/>
      <c r="R72" s="29"/>
      <c r="S72" s="29"/>
      <c r="T72" s="29"/>
      <c r="U72" s="29"/>
      <c r="V72" s="29"/>
      <c r="W72" s="29"/>
    </row>
    <row r="73" spans="1:23" s="1" customFormat="1" ht="13.8" x14ac:dyDescent="0.25">
      <c r="B73" s="3"/>
      <c r="C73" s="2"/>
      <c r="K73" s="99"/>
    </row>
    <row r="74" spans="1:23" s="1" customFormat="1" ht="15" customHeight="1" x14ac:dyDescent="0.25">
      <c r="A74" s="11"/>
      <c r="B74" s="78" t="s">
        <v>133</v>
      </c>
      <c r="C74" s="113" t="s">
        <v>188</v>
      </c>
      <c r="D74" s="307" t="s">
        <v>136</v>
      </c>
      <c r="E74" s="307"/>
      <c r="F74" s="307"/>
      <c r="G74" s="307"/>
      <c r="H74" s="307"/>
      <c r="I74" s="322" t="s">
        <v>189</v>
      </c>
      <c r="J74" s="322"/>
      <c r="K74" s="322"/>
    </row>
    <row r="75" spans="1:23" s="1" customFormat="1" ht="68.400000000000006" customHeight="1" x14ac:dyDescent="0.25">
      <c r="A75" s="336" t="s">
        <v>137</v>
      </c>
      <c r="B75" s="337"/>
      <c r="C75" s="135"/>
      <c r="D75" s="298"/>
      <c r="E75" s="299"/>
      <c r="F75" s="299"/>
      <c r="G75" s="299"/>
      <c r="H75" s="300"/>
      <c r="I75" s="118" t="s">
        <v>190</v>
      </c>
      <c r="J75" s="323" t="s">
        <v>191</v>
      </c>
      <c r="K75" s="323"/>
    </row>
    <row r="76" spans="1:23" s="1" customFormat="1" ht="27.6" x14ac:dyDescent="0.25">
      <c r="A76" s="60" t="s">
        <v>138</v>
      </c>
      <c r="B76" s="39" t="s">
        <v>192</v>
      </c>
      <c r="C76" s="135"/>
      <c r="D76" s="318"/>
      <c r="E76" s="318"/>
      <c r="F76" s="318"/>
      <c r="G76" s="318"/>
      <c r="H76" s="318"/>
      <c r="I76" s="115"/>
      <c r="J76" s="314"/>
      <c r="K76" s="314"/>
    </row>
    <row r="77" spans="1:23" s="1" customFormat="1" ht="27.6" x14ac:dyDescent="0.25">
      <c r="A77" s="60" t="s">
        <v>140</v>
      </c>
      <c r="B77" s="39" t="s">
        <v>193</v>
      </c>
      <c r="C77" s="135"/>
      <c r="D77" s="319"/>
      <c r="E77" s="320"/>
      <c r="F77" s="320"/>
      <c r="G77" s="320"/>
      <c r="H77" s="321"/>
      <c r="I77" s="115"/>
      <c r="J77" s="314"/>
      <c r="K77" s="314"/>
      <c r="L77" s="4"/>
      <c r="M77" s="4"/>
      <c r="N77" s="4"/>
      <c r="O77" s="4"/>
    </row>
    <row r="78" spans="1:23" s="1" customFormat="1" ht="27.6" x14ac:dyDescent="0.25">
      <c r="A78" s="60" t="s">
        <v>142</v>
      </c>
      <c r="B78" s="39" t="s">
        <v>143</v>
      </c>
      <c r="C78" s="135"/>
      <c r="D78" s="318"/>
      <c r="E78" s="318"/>
      <c r="F78" s="318"/>
      <c r="G78" s="318"/>
      <c r="H78" s="318"/>
      <c r="I78" s="115"/>
      <c r="J78" s="314"/>
      <c r="K78" s="314"/>
      <c r="L78" s="4"/>
      <c r="M78" s="4"/>
      <c r="N78" s="4"/>
      <c r="O78" s="4"/>
    </row>
    <row r="79" spans="1:23" s="1" customFormat="1" ht="27.6" x14ac:dyDescent="0.25">
      <c r="A79" s="60" t="s">
        <v>144</v>
      </c>
      <c r="B79" s="39" t="s">
        <v>145</v>
      </c>
      <c r="C79" s="135"/>
      <c r="D79" s="319"/>
      <c r="E79" s="320"/>
      <c r="F79" s="320"/>
      <c r="G79" s="320"/>
      <c r="H79" s="321"/>
      <c r="I79" s="115"/>
      <c r="J79" s="314"/>
      <c r="K79" s="314"/>
      <c r="L79" s="4"/>
      <c r="M79" s="4"/>
      <c r="N79" s="4"/>
      <c r="O79" s="4"/>
    </row>
    <row r="80" spans="1:23" s="1" customFormat="1" ht="27.6" x14ac:dyDescent="0.25">
      <c r="A80" s="60" t="s">
        <v>146</v>
      </c>
      <c r="B80" s="39" t="s">
        <v>194</v>
      </c>
      <c r="C80" s="135"/>
      <c r="D80" s="318"/>
      <c r="E80" s="318"/>
      <c r="F80" s="318"/>
      <c r="G80" s="318"/>
      <c r="H80" s="318"/>
      <c r="I80" s="115"/>
      <c r="J80" s="314"/>
      <c r="K80" s="314"/>
      <c r="L80" s="4"/>
      <c r="M80" s="4"/>
      <c r="N80" s="4"/>
      <c r="O80" s="4"/>
    </row>
    <row r="81" spans="1:15" s="1" customFormat="1" ht="27.6" x14ac:dyDescent="0.25">
      <c r="A81" s="60" t="s">
        <v>148</v>
      </c>
      <c r="B81" s="39" t="s">
        <v>195</v>
      </c>
      <c r="C81" s="135"/>
      <c r="D81" s="318"/>
      <c r="E81" s="318"/>
      <c r="F81" s="318"/>
      <c r="G81" s="318"/>
      <c r="H81" s="318"/>
      <c r="I81" s="115"/>
      <c r="J81" s="314"/>
      <c r="K81" s="314"/>
      <c r="L81" s="4"/>
      <c r="M81" s="4"/>
      <c r="N81" s="4"/>
      <c r="O81" s="4"/>
    </row>
    <row r="82" spans="1:15" s="1" customFormat="1" ht="33.75" customHeight="1" x14ac:dyDescent="0.25">
      <c r="A82" s="60">
        <v>4</v>
      </c>
      <c r="B82" s="39" t="s">
        <v>150</v>
      </c>
      <c r="C82" s="135"/>
      <c r="D82" s="318"/>
      <c r="E82" s="318"/>
      <c r="F82" s="318"/>
      <c r="G82" s="318"/>
      <c r="H82" s="318"/>
      <c r="I82" s="115"/>
      <c r="J82" s="314"/>
      <c r="K82" s="314"/>
      <c r="L82" s="4"/>
      <c r="M82" s="4"/>
      <c r="N82" s="4"/>
      <c r="O82" s="4"/>
    </row>
    <row r="83" spans="1:15" s="1" customFormat="1" ht="27.6" x14ac:dyDescent="0.25">
      <c r="A83" s="60" t="s">
        <v>196</v>
      </c>
      <c r="B83" s="39" t="s">
        <v>197</v>
      </c>
      <c r="C83" s="135"/>
      <c r="D83" s="318"/>
      <c r="E83" s="318"/>
      <c r="F83" s="318"/>
      <c r="G83" s="318"/>
      <c r="H83" s="318"/>
      <c r="I83" s="115"/>
      <c r="J83" s="314"/>
      <c r="K83" s="314"/>
      <c r="L83" s="4"/>
      <c r="M83" s="4"/>
      <c r="N83" s="4"/>
      <c r="O83" s="4"/>
    </row>
    <row r="84" spans="1:15" s="1" customFormat="1" ht="27.6" x14ac:dyDescent="0.25">
      <c r="A84" s="44" t="s">
        <v>198</v>
      </c>
      <c r="B84" s="103" t="s">
        <v>199</v>
      </c>
      <c r="C84" s="135"/>
      <c r="D84" s="318"/>
      <c r="E84" s="318"/>
      <c r="F84" s="318"/>
      <c r="G84" s="318"/>
      <c r="H84" s="318"/>
      <c r="I84" s="115"/>
      <c r="J84" s="314"/>
      <c r="K84" s="314"/>
    </row>
    <row r="85" spans="1:15" s="1" customFormat="1" ht="27.6" x14ac:dyDescent="0.25">
      <c r="A85" s="44">
        <v>6</v>
      </c>
      <c r="B85" s="112" t="s">
        <v>152</v>
      </c>
      <c r="C85" s="135"/>
      <c r="D85" s="318"/>
      <c r="E85" s="318"/>
      <c r="F85" s="318"/>
      <c r="G85" s="318"/>
      <c r="H85" s="318"/>
      <c r="I85" s="115"/>
      <c r="J85" s="314"/>
      <c r="K85" s="314"/>
    </row>
    <row r="86" spans="1:15" s="1" customFormat="1" ht="13.8" x14ac:dyDescent="0.25">
      <c r="A86" s="44">
        <v>7</v>
      </c>
      <c r="B86" s="116"/>
      <c r="C86" s="135"/>
      <c r="D86" s="318"/>
      <c r="E86" s="318"/>
      <c r="F86" s="318"/>
      <c r="G86" s="318"/>
      <c r="H86" s="318"/>
      <c r="I86" s="115"/>
      <c r="J86" s="314"/>
      <c r="K86" s="314"/>
    </row>
    <row r="87" spans="1:15" s="1" customFormat="1" ht="13.8" x14ac:dyDescent="0.25">
      <c r="A87" s="44">
        <v>8</v>
      </c>
      <c r="B87" s="116"/>
      <c r="C87" s="135"/>
      <c r="D87" s="319"/>
      <c r="E87" s="320"/>
      <c r="F87" s="320"/>
      <c r="G87" s="320"/>
      <c r="H87" s="321"/>
      <c r="I87" s="115"/>
      <c r="J87" s="314"/>
      <c r="K87" s="314"/>
    </row>
    <row r="88" spans="1:15" s="1" customFormat="1" ht="13.8" x14ac:dyDescent="0.25">
      <c r="A88" s="44">
        <v>9</v>
      </c>
      <c r="B88" s="116"/>
      <c r="C88" s="135"/>
      <c r="D88" s="318"/>
      <c r="E88" s="318"/>
      <c r="F88" s="318"/>
      <c r="G88" s="318"/>
      <c r="H88" s="318"/>
      <c r="I88" s="115"/>
      <c r="J88" s="314"/>
      <c r="K88" s="314"/>
    </row>
    <row r="89" spans="1:15" s="1" customFormat="1" ht="13.8" x14ac:dyDescent="0.25">
      <c r="A89" s="44">
        <v>10</v>
      </c>
      <c r="B89" s="116"/>
      <c r="C89" s="135"/>
      <c r="D89" s="318"/>
      <c r="E89" s="318"/>
      <c r="F89" s="318"/>
      <c r="G89" s="318"/>
      <c r="H89" s="318"/>
      <c r="I89" s="115"/>
      <c r="J89" s="314"/>
      <c r="K89" s="314"/>
    </row>
    <row r="90" spans="1:15" s="1" customFormat="1" ht="13.8" x14ac:dyDescent="0.25">
      <c r="A90" s="1" t="s">
        <v>153</v>
      </c>
      <c r="B90" s="9" t="s">
        <v>154</v>
      </c>
      <c r="C90" s="136">
        <f>SUM(C75:C89)</f>
        <v>0</v>
      </c>
      <c r="D90" s="25"/>
      <c r="E90" s="25"/>
      <c r="F90" s="25"/>
      <c r="G90" s="25"/>
    </row>
    <row r="91" spans="1:15" s="1" customFormat="1" ht="27.6" x14ac:dyDescent="0.25">
      <c r="B91" s="62" t="s">
        <v>155</v>
      </c>
      <c r="C91" s="137">
        <f>K60</f>
        <v>0</v>
      </c>
      <c r="D91" s="25"/>
      <c r="E91" s="25"/>
      <c r="F91" s="25"/>
      <c r="G91" s="25"/>
    </row>
    <row r="92" spans="1:15" s="1" customFormat="1" ht="13.8" x14ac:dyDescent="0.25">
      <c r="B92" s="62" t="s">
        <v>156</v>
      </c>
      <c r="C92" s="138">
        <f>C90-C91</f>
        <v>0</v>
      </c>
    </row>
    <row r="93" spans="1:15" s="1" customFormat="1" ht="28.2" thickBot="1" x14ac:dyDescent="0.3">
      <c r="B93" s="62" t="s">
        <v>157</v>
      </c>
      <c r="C93" s="51">
        <f>IF(ISERROR(C92/J53),0,C92/J53)</f>
        <v>0</v>
      </c>
      <c r="D93" s="80" t="str">
        <f>IF(AND(C93&lt;0.01,C93&gt;-0.01),"","Unresolved differences of greater than + or - 1% should be explained")</f>
        <v/>
      </c>
      <c r="F93" s="4"/>
    </row>
    <row r="94" spans="1:15" s="1" customFormat="1" thickTop="1" x14ac:dyDescent="0.25">
      <c r="B94" s="2"/>
      <c r="C94" s="46"/>
      <c r="D94" s="49"/>
      <c r="G94" s="4"/>
    </row>
    <row r="95" spans="1:15" s="1" customFormat="1" ht="13.8" x14ac:dyDescent="0.25">
      <c r="B95" s="2"/>
      <c r="C95" s="46"/>
      <c r="D95" s="32"/>
    </row>
    <row r="96" spans="1:15" s="1" customFormat="1" ht="13.8" x14ac:dyDescent="0.25"/>
    <row r="97" s="1" customFormat="1" ht="13.8" x14ac:dyDescent="0.25"/>
  </sheetData>
  <sheetProtection algorithmName="SHA-512" hashValue="l1TfEnVpkUFUoz3kXOPrLI6C0IvOq4RQeYXeUd6VQ80Tk4DW1OW7TYSBgAyg0dg7vM8U/qXq0Ubs3n+bdQEXjA==" saltValue="pfUyhTMKLBtzEBlZIRcdEw==" spinCount="100000" sheet="1" objects="1" scenarios="1"/>
  <mergeCells count="46">
    <mergeCell ref="H61:J61"/>
    <mergeCell ref="B13:C13"/>
    <mergeCell ref="E13:F13"/>
    <mergeCell ref="B19:H19"/>
    <mergeCell ref="B25:F25"/>
    <mergeCell ref="B27:F27"/>
    <mergeCell ref="G59:K59"/>
    <mergeCell ref="G58:K58"/>
    <mergeCell ref="D77:H77"/>
    <mergeCell ref="J77:K77"/>
    <mergeCell ref="H62:J62"/>
    <mergeCell ref="H63:J63"/>
    <mergeCell ref="B65:D71"/>
    <mergeCell ref="F66:K71"/>
    <mergeCell ref="D74:H74"/>
    <mergeCell ref="I74:K74"/>
    <mergeCell ref="A75:B75"/>
    <mergeCell ref="D75:H75"/>
    <mergeCell ref="J75:K75"/>
    <mergeCell ref="D76:H76"/>
    <mergeCell ref="J76:K76"/>
    <mergeCell ref="B64:D64"/>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6:H86"/>
    <mergeCell ref="J86:K86"/>
    <mergeCell ref="D87:H87"/>
    <mergeCell ref="J87:K87"/>
    <mergeCell ref="D88:H88"/>
    <mergeCell ref="J88:K88"/>
    <mergeCell ref="D89:H89"/>
    <mergeCell ref="J89:K89"/>
  </mergeCells>
  <dataValidations count="2">
    <dataValidation type="list" sqref="C23" xr:uid="{08DA7804-AB47-45D6-B861-609D98E13237}">
      <formula1>"1st Estimate, 2nd Estimate, Actual"</formula1>
    </dataValidation>
    <dataValidation type="list" allowBlank="1" showInputMessage="1" showErrorMessage="1" sqref="G27 I76:I89 G25" xr:uid="{0CF1B12B-F68F-4E2E-BCAE-A099C98EAC50}">
      <formula1>"Yes,No"</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7E13F-8E99-4A23-972E-2A80465ACFF0}">
  <sheetPr codeName="Sheet10"/>
  <dimension ref="A12:W97"/>
  <sheetViews>
    <sheetView showGridLines="0" topLeftCell="A25" zoomScale="70" zoomScaleNormal="70" workbookViewId="0">
      <selection activeCell="D59" sqref="D59"/>
    </sheetView>
  </sheetViews>
  <sheetFormatPr defaultColWidth="9" defaultRowHeight="14.4" x14ac:dyDescent="0.3"/>
  <cols>
    <col min="1" max="1" width="10.33203125" customWidth="1"/>
    <col min="2" max="2" width="53.88671875" customWidth="1"/>
    <col min="3" max="3" width="28" customWidth="1"/>
    <col min="4" max="4" width="23" customWidth="1"/>
    <col min="5" max="5" width="19" customWidth="1"/>
    <col min="6" max="6" width="24.3320312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1" customFormat="1" ht="13.8" x14ac:dyDescent="0.25">
      <c r="A12" s="4" t="s">
        <v>74</v>
      </c>
      <c r="B12" s="22" t="s">
        <v>75</v>
      </c>
      <c r="C12" s="21"/>
      <c r="D12" s="21"/>
      <c r="E12" s="21"/>
      <c r="F12" s="21"/>
      <c r="I12" s="4"/>
      <c r="J12" s="4"/>
      <c r="K12" s="4"/>
      <c r="L12" s="4"/>
      <c r="M12" s="4"/>
      <c r="N12" s="4"/>
      <c r="O12" s="4"/>
      <c r="P12" s="4"/>
      <c r="Q12" s="4"/>
      <c r="R12" s="4"/>
      <c r="S12" s="4"/>
    </row>
    <row r="13" spans="1:19" s="1" customFormat="1" ht="13.8" x14ac:dyDescent="0.25">
      <c r="A13" s="4"/>
      <c r="B13" s="302" t="s">
        <v>4</v>
      </c>
      <c r="C13" s="302"/>
      <c r="D13" s="121">
        <v>2019</v>
      </c>
      <c r="E13" s="303"/>
      <c r="F13" s="304"/>
      <c r="G13" s="4"/>
      <c r="H13" s="4"/>
      <c r="I13" s="4"/>
      <c r="J13" s="4"/>
      <c r="K13" s="4"/>
      <c r="L13" s="4"/>
      <c r="M13" s="4"/>
      <c r="N13" s="4"/>
      <c r="O13" s="4"/>
      <c r="P13" s="4"/>
      <c r="Q13" s="4"/>
    </row>
    <row r="14" spans="1:19" s="1" customFormat="1" thickBot="1" x14ac:dyDescent="0.3">
      <c r="A14" s="4"/>
      <c r="B14" s="5" t="s">
        <v>76</v>
      </c>
      <c r="C14" s="6" t="s">
        <v>77</v>
      </c>
      <c r="D14" s="124">
        <f>VLOOKUP('1. Information Sheet'!$C$17,RRR_2019!$B$4:$U$68,19,FALSE)</f>
        <v>908021376</v>
      </c>
      <c r="E14" s="6" t="s">
        <v>78</v>
      </c>
      <c r="F14" s="256">
        <v>1</v>
      </c>
      <c r="G14" s="4"/>
      <c r="H14" s="4"/>
      <c r="I14" s="4"/>
      <c r="J14" s="4"/>
      <c r="K14" s="4"/>
      <c r="L14" s="4"/>
      <c r="M14" s="4"/>
      <c r="N14" s="4"/>
      <c r="O14" s="4"/>
      <c r="P14" s="4"/>
      <c r="Q14" s="4"/>
    </row>
    <row r="15" spans="1:19" s="1" customFormat="1" thickBot="1" x14ac:dyDescent="0.3">
      <c r="B15" s="5" t="s">
        <v>79</v>
      </c>
      <c r="C15" s="6" t="s">
        <v>80</v>
      </c>
      <c r="D15" s="124">
        <f>VLOOKUP('1. Information Sheet'!$C$17,RRR_2019!$B$4:$U$68,7,FALSE)</f>
        <v>408175994</v>
      </c>
      <c r="E15" s="6" t="s">
        <v>78</v>
      </c>
      <c r="F15" s="257">
        <f>IFERROR(D15/$D$14,0)</f>
        <v>0.44952245044944844</v>
      </c>
    </row>
    <row r="16" spans="1:19" s="1" customFormat="1" thickBot="1" x14ac:dyDescent="0.3">
      <c r="B16" s="5" t="s">
        <v>81</v>
      </c>
      <c r="C16" s="6" t="s">
        <v>82</v>
      </c>
      <c r="D16" s="124">
        <f>VLOOKUP('1. Information Sheet'!$C$17,RRR_2019!$B$4:$U$68,20,FALSE)</f>
        <v>499845382</v>
      </c>
      <c r="E16" s="6" t="s">
        <v>78</v>
      </c>
      <c r="F16" s="257">
        <f>IFERROR(D16/$D$14,0)</f>
        <v>0.5504775495505515</v>
      </c>
    </row>
    <row r="17" spans="1:8" s="1" customFormat="1" thickBot="1" x14ac:dyDescent="0.3">
      <c r="B17" s="5" t="s">
        <v>83</v>
      </c>
      <c r="C17" s="6" t="s">
        <v>84</v>
      </c>
      <c r="D17" s="124">
        <f>VLOOKUP('1. Information Sheet'!$C$17,RRR_2019!$B$4:$U$68,13,FALSE)</f>
        <v>276753344</v>
      </c>
      <c r="E17" s="6" t="s">
        <v>78</v>
      </c>
      <c r="F17" s="257">
        <f>IFERROR(D17/$D$14,0)</f>
        <v>0.30478725646212101</v>
      </c>
    </row>
    <row r="18" spans="1:8" s="1" customFormat="1" thickBot="1" x14ac:dyDescent="0.3">
      <c r="B18" s="5" t="s">
        <v>85</v>
      </c>
      <c r="C18" s="6" t="s">
        <v>86</v>
      </c>
      <c r="D18" s="124">
        <f>D16-D17</f>
        <v>223092038</v>
      </c>
      <c r="E18" s="6" t="s">
        <v>78</v>
      </c>
      <c r="F18" s="257">
        <f>IFERROR(D18/$D$14,0)</f>
        <v>0.24569029308843054</v>
      </c>
    </row>
    <row r="19" spans="1:8" s="1" customFormat="1" ht="34.5" customHeight="1" x14ac:dyDescent="0.25">
      <c r="B19" s="305" t="s">
        <v>87</v>
      </c>
      <c r="C19" s="305"/>
      <c r="D19" s="305"/>
      <c r="E19" s="305"/>
      <c r="F19" s="305"/>
      <c r="G19" s="306"/>
      <c r="H19" s="306"/>
    </row>
    <row r="20" spans="1:8" s="1" customFormat="1" ht="13.8" x14ac:dyDescent="0.25">
      <c r="D20" s="96"/>
    </row>
    <row r="21" spans="1:8" s="1" customFormat="1" ht="13.8" x14ac:dyDescent="0.25">
      <c r="A21" s="1" t="s">
        <v>88</v>
      </c>
      <c r="B21" s="3" t="s">
        <v>89</v>
      </c>
    </row>
    <row r="22" spans="1:8" s="1" customFormat="1" ht="13.8" x14ac:dyDescent="0.25">
      <c r="B22" s="3"/>
    </row>
    <row r="23" spans="1:8" s="1" customFormat="1" ht="13.8" x14ac:dyDescent="0.25">
      <c r="B23" s="2" t="s">
        <v>90</v>
      </c>
      <c r="C23" s="115"/>
      <c r="E23" s="4"/>
    </row>
    <row r="24" spans="1:8" s="1" customFormat="1" ht="13.8" x14ac:dyDescent="0.25">
      <c r="E24" s="4"/>
    </row>
    <row r="25" spans="1:8" s="1" customFormat="1" x14ac:dyDescent="0.3">
      <c r="B25" s="315" t="s">
        <v>166</v>
      </c>
      <c r="C25" s="316"/>
      <c r="D25" s="316"/>
      <c r="E25" s="316"/>
      <c r="F25" s="316"/>
      <c r="G25" s="115"/>
    </row>
    <row r="26" spans="1:8" s="1" customFormat="1" ht="13.8" x14ac:dyDescent="0.25">
      <c r="E26" s="4"/>
    </row>
    <row r="27" spans="1:8" s="1" customFormat="1" x14ac:dyDescent="0.3">
      <c r="B27" s="315" t="s">
        <v>167</v>
      </c>
      <c r="C27" s="316"/>
      <c r="D27" s="316"/>
      <c r="E27" s="316"/>
      <c r="F27" s="316"/>
      <c r="G27" s="115"/>
    </row>
    <row r="28" spans="1:8" s="1" customFormat="1" ht="15" customHeight="1" x14ac:dyDescent="0.25">
      <c r="B28" s="9"/>
      <c r="C28" s="9"/>
      <c r="D28" s="9"/>
      <c r="E28" s="9"/>
      <c r="F28" s="9"/>
      <c r="G28" s="9"/>
      <c r="H28" s="9"/>
    </row>
    <row r="29" spans="1:8" s="1" customFormat="1" ht="15" hidden="1" customHeight="1" x14ac:dyDescent="0.25">
      <c r="B29" s="9"/>
      <c r="C29" s="9"/>
      <c r="D29" s="9"/>
      <c r="E29" s="9"/>
      <c r="F29" s="9"/>
      <c r="G29" s="9"/>
      <c r="H29" s="9"/>
    </row>
    <row r="30" spans="1:8" s="1" customFormat="1" ht="15" hidden="1" customHeight="1" x14ac:dyDescent="0.25">
      <c r="B30" s="9"/>
      <c r="C30" s="9"/>
      <c r="D30" s="9"/>
      <c r="E30" s="9"/>
      <c r="F30" s="9"/>
      <c r="G30" s="9"/>
      <c r="H30" s="9"/>
    </row>
    <row r="31" spans="1:8" s="1" customFormat="1" ht="15" hidden="1" customHeight="1" x14ac:dyDescent="0.25">
      <c r="B31" s="9"/>
      <c r="C31" s="9"/>
      <c r="D31" s="9"/>
      <c r="E31" s="9"/>
      <c r="F31" s="9"/>
      <c r="G31" s="9"/>
      <c r="H31" s="9"/>
    </row>
    <row r="32" spans="1:8" s="1" customFormat="1" ht="14.25" hidden="1" customHeight="1" x14ac:dyDescent="0.25">
      <c r="B32" s="9"/>
      <c r="C32" s="9"/>
      <c r="D32" s="9"/>
      <c r="E32" s="9"/>
      <c r="F32" s="9"/>
      <c r="G32" s="9"/>
      <c r="H32" s="9"/>
    </row>
    <row r="33" spans="1:23" s="1" customFormat="1" ht="14.25" hidden="1" customHeight="1" x14ac:dyDescent="0.25">
      <c r="B33" s="9"/>
      <c r="C33" s="9"/>
      <c r="D33" s="9"/>
      <c r="E33" s="9"/>
      <c r="F33" s="9"/>
      <c r="G33" s="9"/>
      <c r="H33" s="9"/>
    </row>
    <row r="34" spans="1:23" s="1" customFormat="1" ht="14.25" hidden="1" customHeight="1" x14ac:dyDescent="0.25">
      <c r="B34" s="9"/>
      <c r="C34" s="9"/>
      <c r="D34" s="9"/>
      <c r="E34" s="9"/>
      <c r="F34" s="9"/>
      <c r="G34" s="9"/>
      <c r="H34" s="9"/>
    </row>
    <row r="35" spans="1:23" s="1" customFormat="1" ht="14.25" hidden="1" customHeight="1" x14ac:dyDescent="0.25">
      <c r="B35" s="9"/>
      <c r="C35" s="9"/>
      <c r="D35" s="9"/>
      <c r="E35" s="9"/>
      <c r="F35" s="9"/>
      <c r="G35" s="9"/>
      <c r="H35" s="9"/>
    </row>
    <row r="36" spans="1:23" s="1" customFormat="1" ht="13.8" x14ac:dyDescent="0.25"/>
    <row r="37" spans="1:23" s="1" customFormat="1" ht="13.8" x14ac:dyDescent="0.25">
      <c r="A37" s="1" t="s">
        <v>92</v>
      </c>
      <c r="B37" s="37" t="s">
        <v>93</v>
      </c>
      <c r="C37" s="3"/>
    </row>
    <row r="38" spans="1:23" s="1" customFormat="1" ht="15" thickBot="1" x14ac:dyDescent="0.35">
      <c r="B38" s="2" t="s">
        <v>4</v>
      </c>
      <c r="C38" s="122">
        <v>2019</v>
      </c>
      <c r="D38" s="4"/>
      <c r="E38" s="4"/>
      <c r="F38" s="68"/>
      <c r="G38" s="2"/>
      <c r="H38" s="2"/>
      <c r="I38" s="2"/>
      <c r="J38" s="2"/>
      <c r="K38" s="2"/>
      <c r="N38"/>
      <c r="O38"/>
      <c r="P38"/>
      <c r="Q38"/>
      <c r="R38"/>
      <c r="S38"/>
      <c r="T38"/>
      <c r="U38"/>
      <c r="V38"/>
      <c r="W38"/>
    </row>
    <row r="39" spans="1:23" s="9" customFormat="1" ht="80.25" customHeight="1" thickBot="1" x14ac:dyDescent="0.35">
      <c r="B39" s="40" t="s">
        <v>95</v>
      </c>
      <c r="C39" s="52" t="s">
        <v>96</v>
      </c>
      <c r="D39" s="69" t="s">
        <v>97</v>
      </c>
      <c r="E39" s="70" t="s">
        <v>98</v>
      </c>
      <c r="F39" s="57" t="s">
        <v>99</v>
      </c>
      <c r="G39" s="26" t="s">
        <v>100</v>
      </c>
      <c r="H39" s="26" t="s">
        <v>101</v>
      </c>
      <c r="I39" s="26" t="s">
        <v>102</v>
      </c>
      <c r="J39" s="26" t="s">
        <v>103</v>
      </c>
      <c r="K39" s="58" t="s">
        <v>168</v>
      </c>
      <c r="N39"/>
      <c r="O39"/>
      <c r="P39"/>
      <c r="Q39"/>
      <c r="R39"/>
      <c r="S39"/>
      <c r="T39"/>
      <c r="U39"/>
      <c r="V39"/>
      <c r="W39"/>
    </row>
    <row r="40" spans="1:23" s="9" customFormat="1" x14ac:dyDescent="0.3">
      <c r="B40" s="12"/>
      <c r="C40" s="53" t="s">
        <v>105</v>
      </c>
      <c r="D40" s="53" t="s">
        <v>106</v>
      </c>
      <c r="E40" s="54" t="s">
        <v>107</v>
      </c>
      <c r="F40" s="54" t="s">
        <v>108</v>
      </c>
      <c r="G40" s="54" t="s">
        <v>109</v>
      </c>
      <c r="H40" s="55" t="s">
        <v>110</v>
      </c>
      <c r="I40" s="54" t="s">
        <v>111</v>
      </c>
      <c r="J40" s="55" t="s">
        <v>112</v>
      </c>
      <c r="K40" s="56" t="s">
        <v>169</v>
      </c>
      <c r="N40"/>
      <c r="O40"/>
      <c r="P40"/>
      <c r="Q40"/>
      <c r="R40"/>
      <c r="S40"/>
      <c r="T40"/>
      <c r="U40"/>
      <c r="V40"/>
      <c r="W40"/>
    </row>
    <row r="41" spans="1:23" s="1" customFormat="1" x14ac:dyDescent="0.3">
      <c r="B41" s="13" t="s">
        <v>118</v>
      </c>
      <c r="C41" s="125"/>
      <c r="D41" s="125"/>
      <c r="E41" s="126"/>
      <c r="F41" s="127">
        <f>C41-D41+E41</f>
        <v>0</v>
      </c>
      <c r="G41" s="20">
        <f>IF($C$23="1st Estimate",'GA Rates'!P4,IF($C$23="2nd Estimate",'GA Rates'!Q4,IF($C$23="Actual",'GA Rates'!R4,0)))</f>
        <v>0</v>
      </c>
      <c r="H41" s="130">
        <f>F41*G41</f>
        <v>0</v>
      </c>
      <c r="I41" s="20">
        <f>'GA Rates'!R4</f>
        <v>8.0920000000000006E-2</v>
      </c>
      <c r="J41" s="132">
        <f>F41*I41</f>
        <v>0</v>
      </c>
      <c r="K41" s="133">
        <f>J41-H41</f>
        <v>0</v>
      </c>
      <c r="N41"/>
      <c r="O41"/>
      <c r="P41"/>
      <c r="Q41"/>
      <c r="R41"/>
      <c r="S41"/>
      <c r="T41"/>
      <c r="U41"/>
      <c r="V41"/>
      <c r="W41"/>
    </row>
    <row r="42" spans="1:23" s="1" customFormat="1" x14ac:dyDescent="0.3">
      <c r="B42" s="13" t="s">
        <v>119</v>
      </c>
      <c r="C42" s="125"/>
      <c r="D42" s="125"/>
      <c r="E42" s="126"/>
      <c r="F42" s="127">
        <f t="shared" ref="F42:F52" si="0">C42-D42+E42</f>
        <v>0</v>
      </c>
      <c r="G42" s="20">
        <f>IF($C$23="1st Estimate",'GA Rates'!P5,IF($C$23="2nd Estimate",'GA Rates'!Q5,IF($C$23="Actual",'GA Rates'!R5,0)))</f>
        <v>0</v>
      </c>
      <c r="H42" s="130">
        <f t="shared" ref="H42:H52" si="1">F42*G42</f>
        <v>0</v>
      </c>
      <c r="I42" s="20">
        <f>'GA Rates'!R5</f>
        <v>8.8120000000000004E-2</v>
      </c>
      <c r="J42" s="132">
        <f t="shared" ref="J42:J52" si="2">F42*I42</f>
        <v>0</v>
      </c>
      <c r="K42" s="133">
        <f t="shared" ref="K42:K52" si="3">J42-H42</f>
        <v>0</v>
      </c>
      <c r="N42"/>
      <c r="O42"/>
      <c r="P42"/>
      <c r="Q42"/>
      <c r="R42"/>
      <c r="S42"/>
      <c r="T42"/>
      <c r="U42"/>
      <c r="V42"/>
      <c r="W42"/>
    </row>
    <row r="43" spans="1:23" s="1" customFormat="1" x14ac:dyDescent="0.3">
      <c r="B43" s="13" t="s">
        <v>120</v>
      </c>
      <c r="C43" s="125"/>
      <c r="D43" s="125"/>
      <c r="E43" s="126"/>
      <c r="F43" s="127">
        <f t="shared" si="0"/>
        <v>0</v>
      </c>
      <c r="G43" s="20">
        <f>IF($C$23="1st Estimate",'GA Rates'!P6,IF($C$23="2nd Estimate",'GA Rates'!Q6,IF($C$23="Actual",'GA Rates'!R6,0)))</f>
        <v>0</v>
      </c>
      <c r="H43" s="130">
        <f t="shared" si="1"/>
        <v>0</v>
      </c>
      <c r="I43" s="20">
        <f>'GA Rates'!R6</f>
        <v>8.0409999999999995E-2</v>
      </c>
      <c r="J43" s="132">
        <f t="shared" si="2"/>
        <v>0</v>
      </c>
      <c r="K43" s="133">
        <f t="shared" si="3"/>
        <v>0</v>
      </c>
      <c r="N43"/>
      <c r="O43"/>
      <c r="P43"/>
      <c r="Q43"/>
      <c r="R43"/>
      <c r="S43"/>
      <c r="T43"/>
      <c r="U43"/>
      <c r="V43"/>
      <c r="W43"/>
    </row>
    <row r="44" spans="1:23" s="1" customFormat="1" x14ac:dyDescent="0.3">
      <c r="B44" s="13" t="s">
        <v>121</v>
      </c>
      <c r="C44" s="125"/>
      <c r="D44" s="125"/>
      <c r="E44" s="126"/>
      <c r="F44" s="127">
        <f t="shared" si="0"/>
        <v>0</v>
      </c>
      <c r="G44" s="20">
        <f>IF($C$23="1st Estimate",'GA Rates'!P7,IF($C$23="2nd Estimate",'GA Rates'!Q7,IF($C$23="Actual",'GA Rates'!R7,0)))</f>
        <v>0</v>
      </c>
      <c r="H44" s="130">
        <f t="shared" si="1"/>
        <v>0</v>
      </c>
      <c r="I44" s="20">
        <f>'GA Rates'!R7</f>
        <v>0.12333</v>
      </c>
      <c r="J44" s="132">
        <f t="shared" si="2"/>
        <v>0</v>
      </c>
      <c r="K44" s="133">
        <f t="shared" si="3"/>
        <v>0</v>
      </c>
      <c r="N44"/>
      <c r="O44"/>
      <c r="P44"/>
      <c r="Q44"/>
      <c r="R44"/>
      <c r="S44"/>
      <c r="T44"/>
      <c r="U44"/>
      <c r="V44"/>
      <c r="W44"/>
    </row>
    <row r="45" spans="1:23" s="1" customFormat="1" x14ac:dyDescent="0.3">
      <c r="B45" s="13" t="s">
        <v>122</v>
      </c>
      <c r="C45" s="125"/>
      <c r="D45" s="125"/>
      <c r="E45" s="126"/>
      <c r="F45" s="127">
        <f t="shared" si="0"/>
        <v>0</v>
      </c>
      <c r="G45" s="20">
        <f>IF($C$23="1st Estimate",'GA Rates'!P8,IF($C$23="2nd Estimate",'GA Rates'!Q8,IF($C$23="Actual",'GA Rates'!R8,0)))</f>
        <v>0</v>
      </c>
      <c r="H45" s="130">
        <f t="shared" si="1"/>
        <v>0</v>
      </c>
      <c r="I45" s="20">
        <f>'GA Rates'!R8</f>
        <v>0.12604000000000001</v>
      </c>
      <c r="J45" s="132">
        <f t="shared" si="2"/>
        <v>0</v>
      </c>
      <c r="K45" s="133">
        <f t="shared" si="3"/>
        <v>0</v>
      </c>
      <c r="N45"/>
      <c r="O45"/>
      <c r="P45"/>
      <c r="Q45"/>
      <c r="R45"/>
      <c r="S45"/>
      <c r="T45"/>
      <c r="U45"/>
      <c r="V45"/>
      <c r="W45"/>
    </row>
    <row r="46" spans="1:23" s="1" customFormat="1" x14ac:dyDescent="0.3">
      <c r="B46" s="13" t="s">
        <v>123</v>
      </c>
      <c r="C46" s="125"/>
      <c r="D46" s="125"/>
      <c r="E46" s="126"/>
      <c r="F46" s="127">
        <f t="shared" si="0"/>
        <v>0</v>
      </c>
      <c r="G46" s="20">
        <f>IF($C$23="1st Estimate",'GA Rates'!P9,IF($C$23="2nd Estimate",'GA Rates'!Q9,IF($C$23="Actual",'GA Rates'!R9,0)))</f>
        <v>0</v>
      </c>
      <c r="H46" s="130">
        <f t="shared" si="1"/>
        <v>0</v>
      </c>
      <c r="I46" s="20">
        <f>'GA Rates'!R9</f>
        <v>0.13728000000000001</v>
      </c>
      <c r="J46" s="132">
        <f t="shared" si="2"/>
        <v>0</v>
      </c>
      <c r="K46" s="133">
        <f t="shared" si="3"/>
        <v>0</v>
      </c>
      <c r="N46"/>
      <c r="O46"/>
      <c r="P46"/>
      <c r="Q46"/>
      <c r="R46"/>
      <c r="S46"/>
      <c r="T46"/>
      <c r="U46"/>
      <c r="V46"/>
      <c r="W46"/>
    </row>
    <row r="47" spans="1:23" s="1" customFormat="1" x14ac:dyDescent="0.3">
      <c r="B47" s="13" t="s">
        <v>124</v>
      </c>
      <c r="C47" s="126"/>
      <c r="D47" s="125"/>
      <c r="E47" s="126"/>
      <c r="F47" s="127">
        <f t="shared" si="0"/>
        <v>0</v>
      </c>
      <c r="G47" s="20">
        <f>IF($C$23="1st Estimate",'GA Rates'!P10,IF($C$23="2nd Estimate",'GA Rates'!Q10,IF($C$23="Actual",'GA Rates'!R10,0)))</f>
        <v>0</v>
      </c>
      <c r="H47" s="130">
        <f t="shared" si="1"/>
        <v>0</v>
      </c>
      <c r="I47" s="20">
        <f>'GA Rates'!R10</f>
        <v>9.6450000000000008E-2</v>
      </c>
      <c r="J47" s="132">
        <f t="shared" si="2"/>
        <v>0</v>
      </c>
      <c r="K47" s="133">
        <f t="shared" si="3"/>
        <v>0</v>
      </c>
      <c r="N47"/>
      <c r="O47"/>
      <c r="P47"/>
      <c r="Q47"/>
      <c r="R47"/>
      <c r="S47"/>
      <c r="T47"/>
      <c r="U47"/>
      <c r="V47"/>
      <c r="W47"/>
    </row>
    <row r="48" spans="1:23" s="1" customFormat="1" x14ac:dyDescent="0.3">
      <c r="B48" s="13" t="s">
        <v>125</v>
      </c>
      <c r="C48" s="126"/>
      <c r="D48" s="125"/>
      <c r="E48" s="126"/>
      <c r="F48" s="127">
        <f t="shared" si="0"/>
        <v>0</v>
      </c>
      <c r="G48" s="20">
        <f>IF($C$23="1st Estimate",'GA Rates'!P11,IF($C$23="2nd Estimate",'GA Rates'!Q11,IF($C$23="Actual",'GA Rates'!R11,0)))</f>
        <v>0</v>
      </c>
      <c r="H48" s="130">
        <f t="shared" si="1"/>
        <v>0</v>
      </c>
      <c r="I48" s="20">
        <f>'GA Rates'!R11</f>
        <v>0.12606999999999999</v>
      </c>
      <c r="J48" s="132">
        <f t="shared" si="2"/>
        <v>0</v>
      </c>
      <c r="K48" s="133">
        <f t="shared" si="3"/>
        <v>0</v>
      </c>
      <c r="N48"/>
      <c r="O48"/>
      <c r="P48"/>
      <c r="Q48"/>
      <c r="R48"/>
      <c r="S48"/>
      <c r="T48"/>
      <c r="U48"/>
      <c r="V48"/>
      <c r="W48"/>
    </row>
    <row r="49" spans="2:23" s="1" customFormat="1" x14ac:dyDescent="0.3">
      <c r="B49" s="13" t="s">
        <v>126</v>
      </c>
      <c r="C49" s="126"/>
      <c r="D49" s="125"/>
      <c r="E49" s="126"/>
      <c r="F49" s="127">
        <f t="shared" si="0"/>
        <v>0</v>
      </c>
      <c r="G49" s="20">
        <f>IF($C$23="1st Estimate",'GA Rates'!P12,IF($C$23="2nd Estimate",'GA Rates'!Q12,IF($C$23="Actual",'GA Rates'!R12,0)))</f>
        <v>0</v>
      </c>
      <c r="H49" s="130">
        <f t="shared" si="1"/>
        <v>0</v>
      </c>
      <c r="I49" s="20">
        <f>'GA Rates'!R12</f>
        <v>0.12262999999999999</v>
      </c>
      <c r="J49" s="132">
        <f t="shared" si="2"/>
        <v>0</v>
      </c>
      <c r="K49" s="133">
        <f t="shared" si="3"/>
        <v>0</v>
      </c>
      <c r="N49"/>
      <c r="O49"/>
      <c r="P49"/>
      <c r="Q49"/>
      <c r="R49"/>
      <c r="S49"/>
      <c r="T49"/>
      <c r="U49"/>
      <c r="V49"/>
      <c r="W49"/>
    </row>
    <row r="50" spans="2:23" s="1" customFormat="1" x14ac:dyDescent="0.3">
      <c r="B50" s="13" t="s">
        <v>127</v>
      </c>
      <c r="C50" s="126"/>
      <c r="D50" s="125"/>
      <c r="E50" s="126"/>
      <c r="F50" s="127">
        <f t="shared" si="0"/>
        <v>0</v>
      </c>
      <c r="G50" s="20">
        <f>IF($C$23="1st Estimate",'GA Rates'!P13,IF($C$23="2nd Estimate",'GA Rates'!Q13,IF($C$23="Actual",'GA Rates'!R13,0)))</f>
        <v>0</v>
      </c>
      <c r="H50" s="130">
        <f t="shared" si="1"/>
        <v>0</v>
      </c>
      <c r="I50" s="20">
        <f>'GA Rates'!R13</f>
        <v>0.1368</v>
      </c>
      <c r="J50" s="132">
        <f t="shared" si="2"/>
        <v>0</v>
      </c>
      <c r="K50" s="133">
        <f t="shared" si="3"/>
        <v>0</v>
      </c>
      <c r="N50"/>
      <c r="O50"/>
      <c r="P50"/>
      <c r="Q50"/>
      <c r="R50"/>
      <c r="S50"/>
      <c r="T50"/>
      <c r="U50"/>
      <c r="V50"/>
      <c r="W50"/>
    </row>
    <row r="51" spans="2:23" s="1" customFormat="1" x14ac:dyDescent="0.3">
      <c r="B51" s="13" t="s">
        <v>128</v>
      </c>
      <c r="C51" s="126"/>
      <c r="D51" s="125"/>
      <c r="E51" s="126"/>
      <c r="F51" s="127">
        <f t="shared" si="0"/>
        <v>0</v>
      </c>
      <c r="G51" s="20">
        <f>IF($C$23="1st Estimate",'GA Rates'!P14,IF($C$23="2nd Estimate",'GA Rates'!Q14,IF($C$23="Actual",'GA Rates'!R14,0)))</f>
        <v>0</v>
      </c>
      <c r="H51" s="130">
        <f t="shared" si="1"/>
        <v>0</v>
      </c>
      <c r="I51" s="20">
        <f>'GA Rates'!R14</f>
        <v>9.9530000000000007E-2</v>
      </c>
      <c r="J51" s="132">
        <f t="shared" si="2"/>
        <v>0</v>
      </c>
      <c r="K51" s="133">
        <f t="shared" si="3"/>
        <v>0</v>
      </c>
      <c r="N51"/>
      <c r="O51"/>
      <c r="P51"/>
      <c r="Q51"/>
      <c r="R51"/>
      <c r="S51"/>
      <c r="T51"/>
      <c r="U51"/>
      <c r="V51"/>
      <c r="W51"/>
    </row>
    <row r="52" spans="2:23" s="1" customFormat="1" x14ac:dyDescent="0.3">
      <c r="B52" s="13" t="s">
        <v>129</v>
      </c>
      <c r="C52" s="128"/>
      <c r="D52" s="125"/>
      <c r="E52" s="126"/>
      <c r="F52" s="127">
        <f t="shared" si="0"/>
        <v>0</v>
      </c>
      <c r="G52" s="20">
        <f>IF($C$23="1st Estimate",'GA Rates'!P15,IF($C$23="2nd Estimate",'GA Rates'!Q15,IF($C$23="Actual",'GA Rates'!R15,0)))</f>
        <v>0</v>
      </c>
      <c r="H52" s="130">
        <f t="shared" si="1"/>
        <v>0</v>
      </c>
      <c r="I52" s="20">
        <f>'GA Rates'!R15</f>
        <v>9.3209999999999987E-2</v>
      </c>
      <c r="J52" s="132">
        <f t="shared" si="2"/>
        <v>0</v>
      </c>
      <c r="K52" s="133">
        <f t="shared" si="3"/>
        <v>0</v>
      </c>
      <c r="N52"/>
      <c r="O52"/>
      <c r="P52"/>
      <c r="Q52"/>
      <c r="R52"/>
      <c r="S52"/>
      <c r="T52"/>
      <c r="U52"/>
      <c r="V52"/>
      <c r="W52"/>
    </row>
    <row r="53" spans="2:23" s="1" customFormat="1" ht="28.8" thickBot="1" x14ac:dyDescent="0.35">
      <c r="B53" s="102" t="s">
        <v>130</v>
      </c>
      <c r="C53" s="129">
        <f>SUM(C41:C52)</f>
        <v>0</v>
      </c>
      <c r="D53" s="129">
        <f>SUM(D41:D52)</f>
        <v>0</v>
      </c>
      <c r="E53" s="129">
        <f>SUM(E41:E52)</f>
        <v>0</v>
      </c>
      <c r="F53" s="129">
        <f>SUM(F41:F52)</f>
        <v>0</v>
      </c>
      <c r="G53" s="33"/>
      <c r="H53" s="131">
        <f>SUM(H41:H52)</f>
        <v>0</v>
      </c>
      <c r="I53" s="33"/>
      <c r="J53" s="131">
        <f>SUM(J41:J52)</f>
        <v>0</v>
      </c>
      <c r="K53" s="134">
        <f>SUM(K41:K52)</f>
        <v>0</v>
      </c>
      <c r="N53"/>
      <c r="O53"/>
      <c r="P53"/>
      <c r="Q53"/>
      <c r="R53"/>
      <c r="S53"/>
      <c r="T53"/>
      <c r="U53"/>
      <c r="V53"/>
      <c r="W53"/>
    </row>
    <row r="54" spans="2:23" s="1" customFormat="1" ht="15" thickBot="1" x14ac:dyDescent="0.35">
      <c r="B54" s="62"/>
      <c r="C54" s="177"/>
      <c r="D54" s="177"/>
      <c r="E54" s="177"/>
      <c r="F54" s="177"/>
      <c r="G54" s="2"/>
      <c r="H54" s="178"/>
      <c r="I54" s="2"/>
      <c r="J54" s="178"/>
      <c r="K54" s="178"/>
      <c r="N54"/>
      <c r="O54"/>
      <c r="P54"/>
      <c r="Q54"/>
      <c r="R54"/>
      <c r="S54"/>
      <c r="T54"/>
      <c r="U54"/>
      <c r="V54"/>
      <c r="W54"/>
    </row>
    <row r="55" spans="2:23" s="1" customFormat="1" ht="55.8" x14ac:dyDescent="0.3">
      <c r="B55" s="62"/>
      <c r="C55" s="177"/>
      <c r="D55" s="177"/>
      <c r="E55" s="177"/>
      <c r="F55" s="177"/>
      <c r="G55" s="182" t="s">
        <v>170</v>
      </c>
      <c r="H55" s="183" t="s">
        <v>171</v>
      </c>
      <c r="I55" s="54" t="s">
        <v>172</v>
      </c>
      <c r="J55" s="184" t="s">
        <v>173</v>
      </c>
      <c r="K55" s="185" t="s">
        <v>174</v>
      </c>
      <c r="N55"/>
      <c r="O55"/>
      <c r="P55"/>
      <c r="Q55"/>
      <c r="R55"/>
      <c r="S55"/>
      <c r="T55"/>
      <c r="U55"/>
      <c r="V55"/>
      <c r="W55"/>
    </row>
    <row r="56" spans="2:23" s="1" customFormat="1" ht="13.8" x14ac:dyDescent="0.25">
      <c r="G56" s="186" t="s">
        <v>175</v>
      </c>
      <c r="H56" s="187" t="s">
        <v>176</v>
      </c>
      <c r="I56" s="188" t="s">
        <v>177</v>
      </c>
      <c r="J56" s="189" t="s">
        <v>178</v>
      </c>
      <c r="K56" s="190" t="s">
        <v>179</v>
      </c>
      <c r="O56" s="29"/>
      <c r="P56" s="29"/>
      <c r="Q56" s="29"/>
      <c r="R56" s="29"/>
      <c r="S56" s="29"/>
      <c r="T56" s="29"/>
      <c r="U56" s="29"/>
      <c r="V56" s="29"/>
      <c r="W56" s="29"/>
    </row>
    <row r="57" spans="2:23" s="1" customFormat="1" thickBot="1" x14ac:dyDescent="0.3">
      <c r="G57" s="261"/>
      <c r="H57" s="221">
        <f>F53</f>
        <v>0</v>
      </c>
      <c r="I57" s="221">
        <f>G57-H57</f>
        <v>0</v>
      </c>
      <c r="J57" s="264"/>
      <c r="K57" s="220">
        <f>I57*J57</f>
        <v>0</v>
      </c>
      <c r="O57" s="29"/>
      <c r="P57" s="29"/>
      <c r="Q57" s="29"/>
      <c r="R57" s="29"/>
      <c r="S57" s="29"/>
      <c r="T57" s="29"/>
      <c r="U57" s="29"/>
      <c r="V57" s="29"/>
      <c r="W57" s="29"/>
    </row>
    <row r="58" spans="2:23" s="1" customFormat="1" ht="35.4" customHeight="1" x14ac:dyDescent="0.25">
      <c r="G58" s="335" t="s">
        <v>180</v>
      </c>
      <c r="H58" s="335"/>
      <c r="I58" s="335"/>
      <c r="J58" s="335"/>
      <c r="K58" s="335"/>
      <c r="O58" s="29"/>
      <c r="P58" s="29"/>
      <c r="Q58" s="29"/>
      <c r="R58" s="29"/>
      <c r="S58" s="29"/>
      <c r="T58" s="29"/>
      <c r="U58" s="29"/>
      <c r="V58" s="29"/>
      <c r="W58" s="29"/>
    </row>
    <row r="59" spans="2:23" s="1" customFormat="1" ht="47.4" customHeight="1" thickBot="1" x14ac:dyDescent="0.3">
      <c r="G59" s="334" t="s">
        <v>200</v>
      </c>
      <c r="H59" s="334"/>
      <c r="I59" s="334"/>
      <c r="J59" s="334"/>
      <c r="K59" s="334"/>
      <c r="O59" s="29"/>
      <c r="P59" s="29"/>
      <c r="Q59" s="29"/>
      <c r="R59" s="29"/>
      <c r="S59" s="29"/>
      <c r="T59" s="29"/>
      <c r="U59" s="29"/>
      <c r="V59" s="29"/>
      <c r="W59" s="29"/>
    </row>
    <row r="60" spans="2:23" s="1" customFormat="1" thickBot="1" x14ac:dyDescent="0.3">
      <c r="G60" s="179"/>
      <c r="H60" s="180"/>
      <c r="I60" s="181"/>
      <c r="J60" s="191" t="s">
        <v>182</v>
      </c>
      <c r="K60" s="192">
        <f>K53+K57</f>
        <v>0</v>
      </c>
      <c r="O60" s="29"/>
      <c r="P60" s="29"/>
      <c r="Q60" s="29"/>
      <c r="R60" s="29"/>
      <c r="S60" s="29"/>
      <c r="T60" s="29"/>
      <c r="U60" s="29"/>
      <c r="V60" s="29"/>
      <c r="W60" s="29"/>
    </row>
    <row r="61" spans="2:23" s="1" customFormat="1" ht="45.6" customHeight="1" x14ac:dyDescent="0.25">
      <c r="H61" s="317" t="s">
        <v>183</v>
      </c>
      <c r="I61" s="317"/>
      <c r="J61" s="317"/>
      <c r="K61" s="239">
        <f>IFERROR(F53/D18,0)</f>
        <v>0</v>
      </c>
      <c r="O61" s="29"/>
      <c r="P61" s="29"/>
      <c r="Q61" s="29"/>
      <c r="R61" s="29"/>
      <c r="S61" s="29"/>
      <c r="T61" s="29"/>
      <c r="U61" s="29"/>
      <c r="V61" s="29"/>
      <c r="W61" s="29"/>
    </row>
    <row r="62" spans="2:23" s="1" customFormat="1" ht="30" customHeight="1" x14ac:dyDescent="0.25">
      <c r="H62" s="317" t="s">
        <v>184</v>
      </c>
      <c r="I62" s="317"/>
      <c r="J62" s="317"/>
      <c r="K62" s="237"/>
      <c r="O62" s="29"/>
      <c r="P62" s="29"/>
      <c r="Q62" s="29"/>
      <c r="R62" s="29"/>
      <c r="S62" s="29"/>
      <c r="T62" s="29"/>
      <c r="U62" s="29"/>
      <c r="V62" s="29"/>
      <c r="W62" s="29"/>
    </row>
    <row r="63" spans="2:23" s="1" customFormat="1" ht="13.8" x14ac:dyDescent="0.25">
      <c r="H63" s="317" t="s">
        <v>185</v>
      </c>
      <c r="I63" s="317"/>
      <c r="J63" s="317"/>
      <c r="K63" s="111">
        <f>K61-K62</f>
        <v>0</v>
      </c>
      <c r="O63" s="29"/>
      <c r="P63" s="29"/>
      <c r="Q63" s="29"/>
      <c r="R63" s="29"/>
      <c r="S63" s="29"/>
      <c r="T63" s="29"/>
      <c r="U63" s="29"/>
      <c r="V63" s="29"/>
      <c r="W63" s="29"/>
    </row>
    <row r="64" spans="2:23" s="1" customFormat="1" ht="26.4" customHeight="1" thickBot="1" x14ac:dyDescent="0.3">
      <c r="B64" s="333" t="s">
        <v>186</v>
      </c>
      <c r="C64" s="333"/>
      <c r="D64" s="333"/>
      <c r="H64" s="149"/>
      <c r="I64" s="149"/>
      <c r="J64" s="149"/>
      <c r="K64" s="111"/>
      <c r="O64" s="29"/>
      <c r="P64" s="29"/>
      <c r="Q64" s="29"/>
      <c r="R64" s="29"/>
      <c r="S64" s="29"/>
      <c r="T64" s="29"/>
      <c r="U64" s="29"/>
      <c r="V64" s="29"/>
      <c r="W64" s="29"/>
    </row>
    <row r="65" spans="1:23" s="1" customFormat="1" thickBot="1" x14ac:dyDescent="0.3">
      <c r="B65" s="324"/>
      <c r="C65" s="325"/>
      <c r="D65" s="326"/>
      <c r="E65" s="161"/>
      <c r="F65" s="2" t="s">
        <v>187</v>
      </c>
      <c r="H65" s="149"/>
      <c r="I65" s="149"/>
      <c r="J65" s="149"/>
      <c r="K65" s="111"/>
      <c r="O65" s="29"/>
      <c r="P65" s="29"/>
      <c r="Q65" s="29"/>
      <c r="R65" s="29"/>
      <c r="S65" s="29"/>
      <c r="T65" s="29"/>
      <c r="U65" s="29"/>
      <c r="V65" s="29"/>
      <c r="W65" s="29"/>
    </row>
    <row r="66" spans="1:23" s="1" customFormat="1" ht="15" customHeight="1" x14ac:dyDescent="0.25">
      <c r="B66" s="327"/>
      <c r="C66" s="328"/>
      <c r="D66" s="329"/>
      <c r="E66" s="161"/>
      <c r="F66" s="324"/>
      <c r="G66" s="325"/>
      <c r="H66" s="325"/>
      <c r="I66" s="325"/>
      <c r="J66" s="325"/>
      <c r="K66" s="326"/>
      <c r="O66" s="29"/>
      <c r="P66" s="29"/>
      <c r="Q66" s="29"/>
      <c r="R66" s="29"/>
      <c r="S66" s="29"/>
      <c r="T66" s="29"/>
      <c r="U66" s="29"/>
      <c r="V66" s="29"/>
      <c r="W66" s="29"/>
    </row>
    <row r="67" spans="1:23" s="1" customFormat="1" ht="15" customHeight="1" x14ac:dyDescent="0.25">
      <c r="B67" s="327"/>
      <c r="C67" s="328"/>
      <c r="D67" s="329"/>
      <c r="E67" s="161"/>
      <c r="F67" s="327"/>
      <c r="G67" s="328"/>
      <c r="H67" s="328"/>
      <c r="I67" s="328"/>
      <c r="J67" s="328"/>
      <c r="K67" s="329"/>
      <c r="O67" s="29"/>
      <c r="P67" s="29"/>
      <c r="Q67" s="29"/>
      <c r="R67" s="29"/>
      <c r="S67" s="29"/>
      <c r="T67" s="29"/>
      <c r="U67" s="29"/>
      <c r="V67" s="29"/>
      <c r="W67" s="29"/>
    </row>
    <row r="68" spans="1:23" s="1" customFormat="1" ht="15" customHeight="1" x14ac:dyDescent="0.25">
      <c r="B68" s="327"/>
      <c r="C68" s="328"/>
      <c r="D68" s="329"/>
      <c r="E68" s="161"/>
      <c r="F68" s="327"/>
      <c r="G68" s="328"/>
      <c r="H68" s="328"/>
      <c r="I68" s="328"/>
      <c r="J68" s="328"/>
      <c r="K68" s="329"/>
      <c r="O68" s="29"/>
      <c r="P68" s="29"/>
      <c r="Q68" s="29"/>
      <c r="R68" s="29"/>
      <c r="S68" s="29"/>
      <c r="T68" s="29"/>
      <c r="U68" s="29"/>
      <c r="V68" s="29"/>
      <c r="W68" s="29"/>
    </row>
    <row r="69" spans="1:23" s="1" customFormat="1" ht="15" customHeight="1" x14ac:dyDescent="0.25">
      <c r="B69" s="327"/>
      <c r="C69" s="328"/>
      <c r="D69" s="329"/>
      <c r="E69" s="161"/>
      <c r="F69" s="327"/>
      <c r="G69" s="328"/>
      <c r="H69" s="328"/>
      <c r="I69" s="328"/>
      <c r="J69" s="328"/>
      <c r="K69" s="329"/>
      <c r="O69" s="29"/>
      <c r="P69" s="29"/>
      <c r="Q69" s="29"/>
      <c r="R69" s="29"/>
      <c r="S69" s="29"/>
      <c r="T69" s="29"/>
      <c r="U69" s="29"/>
      <c r="V69" s="29"/>
      <c r="W69" s="29"/>
    </row>
    <row r="70" spans="1:23" s="1" customFormat="1" ht="15" customHeight="1" x14ac:dyDescent="0.25">
      <c r="B70" s="327"/>
      <c r="C70" s="328"/>
      <c r="D70" s="329"/>
      <c r="E70" s="161"/>
      <c r="F70" s="327"/>
      <c r="G70" s="328"/>
      <c r="H70" s="328"/>
      <c r="I70" s="328"/>
      <c r="J70" s="328"/>
      <c r="K70" s="329"/>
      <c r="O70" s="29"/>
      <c r="P70" s="29"/>
      <c r="Q70" s="29"/>
      <c r="R70" s="29"/>
      <c r="S70" s="29"/>
      <c r="T70" s="29"/>
      <c r="U70" s="29"/>
      <c r="V70" s="29"/>
      <c r="W70" s="29"/>
    </row>
    <row r="71" spans="1:23" s="1" customFormat="1" ht="15.75" customHeight="1" thickBot="1" x14ac:dyDescent="0.3">
      <c r="B71" s="330"/>
      <c r="C71" s="331"/>
      <c r="D71" s="332"/>
      <c r="E71" s="161"/>
      <c r="F71" s="330"/>
      <c r="G71" s="331"/>
      <c r="H71" s="331"/>
      <c r="I71" s="331"/>
      <c r="J71" s="331"/>
      <c r="K71" s="332"/>
      <c r="O71" s="29"/>
      <c r="P71" s="29"/>
      <c r="Q71" s="29"/>
      <c r="R71" s="29"/>
      <c r="S71" s="29"/>
      <c r="T71" s="29"/>
      <c r="U71" s="29"/>
      <c r="V71" s="29"/>
      <c r="W71" s="29"/>
    </row>
    <row r="72" spans="1:23" s="1" customFormat="1" ht="37.200000000000003" customHeight="1" x14ac:dyDescent="0.25">
      <c r="A72" s="1" t="s">
        <v>131</v>
      </c>
      <c r="B72" s="37" t="s">
        <v>132</v>
      </c>
      <c r="C72" s="2"/>
      <c r="K72" s="91"/>
      <c r="O72" s="29"/>
      <c r="P72" s="29"/>
      <c r="Q72" s="29"/>
      <c r="R72" s="29"/>
      <c r="S72" s="29"/>
      <c r="T72" s="29"/>
      <c r="U72" s="29"/>
      <c r="V72" s="29"/>
      <c r="W72" s="29"/>
    </row>
    <row r="73" spans="1:23" s="1" customFormat="1" ht="13.8" x14ac:dyDescent="0.25">
      <c r="B73" s="3"/>
      <c r="C73" s="2"/>
      <c r="K73" s="99"/>
    </row>
    <row r="74" spans="1:23" s="1" customFormat="1" ht="15" customHeight="1" x14ac:dyDescent="0.25">
      <c r="A74" s="11"/>
      <c r="B74" s="78" t="s">
        <v>133</v>
      </c>
      <c r="C74" s="113" t="s">
        <v>188</v>
      </c>
      <c r="D74" s="307" t="s">
        <v>136</v>
      </c>
      <c r="E74" s="307"/>
      <c r="F74" s="307"/>
      <c r="G74" s="307"/>
      <c r="H74" s="307"/>
      <c r="I74" s="322" t="s">
        <v>189</v>
      </c>
      <c r="J74" s="322"/>
      <c r="K74" s="322"/>
    </row>
    <row r="75" spans="1:23" s="1" customFormat="1" ht="56.4" customHeight="1" x14ac:dyDescent="0.25">
      <c r="A75" s="336" t="s">
        <v>137</v>
      </c>
      <c r="B75" s="337"/>
      <c r="C75" s="135"/>
      <c r="D75" s="298"/>
      <c r="E75" s="299"/>
      <c r="F75" s="299"/>
      <c r="G75" s="299"/>
      <c r="H75" s="300"/>
      <c r="I75" s="118" t="s">
        <v>190</v>
      </c>
      <c r="J75" s="323" t="s">
        <v>191</v>
      </c>
      <c r="K75" s="323"/>
    </row>
    <row r="76" spans="1:23" s="1" customFormat="1" ht="27.6" x14ac:dyDescent="0.25">
      <c r="A76" s="60" t="s">
        <v>138</v>
      </c>
      <c r="B76" s="39" t="s">
        <v>192</v>
      </c>
      <c r="C76" s="135"/>
      <c r="D76" s="318"/>
      <c r="E76" s="318"/>
      <c r="F76" s="318"/>
      <c r="G76" s="318"/>
      <c r="H76" s="318"/>
      <c r="I76" s="115"/>
      <c r="J76" s="314"/>
      <c r="K76" s="314"/>
    </row>
    <row r="77" spans="1:23" s="1" customFormat="1" ht="27.6" x14ac:dyDescent="0.25">
      <c r="A77" s="60" t="s">
        <v>140</v>
      </c>
      <c r="B77" s="39" t="s">
        <v>193</v>
      </c>
      <c r="C77" s="135"/>
      <c r="D77" s="319"/>
      <c r="E77" s="320"/>
      <c r="F77" s="320"/>
      <c r="G77" s="320"/>
      <c r="H77" s="321"/>
      <c r="I77" s="115"/>
      <c r="J77" s="314"/>
      <c r="K77" s="314"/>
      <c r="L77" s="4"/>
      <c r="M77" s="4"/>
      <c r="N77" s="4"/>
      <c r="O77" s="4"/>
    </row>
    <row r="78" spans="1:23" s="1" customFormat="1" ht="27.6" x14ac:dyDescent="0.25">
      <c r="A78" s="60" t="s">
        <v>142</v>
      </c>
      <c r="B78" s="39" t="s">
        <v>143</v>
      </c>
      <c r="C78" s="135"/>
      <c r="D78" s="318"/>
      <c r="E78" s="318"/>
      <c r="F78" s="318"/>
      <c r="G78" s="318"/>
      <c r="H78" s="318"/>
      <c r="I78" s="115"/>
      <c r="J78" s="314"/>
      <c r="K78" s="314"/>
      <c r="L78" s="4"/>
      <c r="M78" s="4"/>
      <c r="N78" s="4"/>
      <c r="O78" s="4"/>
    </row>
    <row r="79" spans="1:23" s="1" customFormat="1" ht="27.6" x14ac:dyDescent="0.25">
      <c r="A79" s="60" t="s">
        <v>144</v>
      </c>
      <c r="B79" s="39" t="s">
        <v>145</v>
      </c>
      <c r="C79" s="135"/>
      <c r="D79" s="319"/>
      <c r="E79" s="320"/>
      <c r="F79" s="320"/>
      <c r="G79" s="320"/>
      <c r="H79" s="321"/>
      <c r="I79" s="115"/>
      <c r="J79" s="314"/>
      <c r="K79" s="314"/>
      <c r="L79" s="4"/>
      <c r="M79" s="4"/>
      <c r="N79" s="4"/>
      <c r="O79" s="4"/>
    </row>
    <row r="80" spans="1:23" s="1" customFormat="1" ht="27.6" x14ac:dyDescent="0.25">
      <c r="A80" s="60" t="s">
        <v>146</v>
      </c>
      <c r="B80" s="39" t="s">
        <v>201</v>
      </c>
      <c r="C80" s="135"/>
      <c r="D80" s="318"/>
      <c r="E80" s="318"/>
      <c r="F80" s="318"/>
      <c r="G80" s="318"/>
      <c r="H80" s="318"/>
      <c r="I80" s="115"/>
      <c r="J80" s="314"/>
      <c r="K80" s="314"/>
      <c r="L80" s="4"/>
      <c r="M80" s="4"/>
      <c r="N80" s="4"/>
      <c r="O80" s="4"/>
    </row>
    <row r="81" spans="1:15" s="1" customFormat="1" ht="27.6" x14ac:dyDescent="0.25">
      <c r="A81" s="60" t="s">
        <v>148</v>
      </c>
      <c r="B81" s="39" t="s">
        <v>202</v>
      </c>
      <c r="C81" s="135"/>
      <c r="D81" s="318"/>
      <c r="E81" s="318"/>
      <c r="F81" s="318"/>
      <c r="G81" s="318"/>
      <c r="H81" s="318"/>
      <c r="I81" s="115"/>
      <c r="J81" s="314"/>
      <c r="K81" s="314"/>
      <c r="L81" s="4"/>
      <c r="M81" s="4"/>
      <c r="N81" s="4"/>
      <c r="O81" s="4"/>
    </row>
    <row r="82" spans="1:15" s="1" customFormat="1" ht="33.75" customHeight="1" x14ac:dyDescent="0.25">
      <c r="A82" s="60" t="s">
        <v>203</v>
      </c>
      <c r="B82" s="39" t="s">
        <v>197</v>
      </c>
      <c r="C82" s="135"/>
      <c r="D82" s="318"/>
      <c r="E82" s="318"/>
      <c r="F82" s="318"/>
      <c r="G82" s="318"/>
      <c r="H82" s="318"/>
      <c r="I82" s="115"/>
      <c r="J82" s="314"/>
      <c r="K82" s="314"/>
      <c r="L82" s="4"/>
      <c r="M82" s="4"/>
      <c r="N82" s="4"/>
      <c r="O82" s="4"/>
    </row>
    <row r="83" spans="1:15" s="1" customFormat="1" ht="27.6" x14ac:dyDescent="0.25">
      <c r="A83" s="44" t="s">
        <v>204</v>
      </c>
      <c r="B83" s="39" t="s">
        <v>199</v>
      </c>
      <c r="C83" s="135"/>
      <c r="D83" s="318"/>
      <c r="E83" s="318"/>
      <c r="F83" s="318"/>
      <c r="G83" s="318"/>
      <c r="H83" s="318"/>
      <c r="I83" s="115"/>
      <c r="J83" s="314"/>
      <c r="K83" s="314"/>
      <c r="L83" s="4"/>
      <c r="M83" s="4"/>
      <c r="N83" s="4"/>
      <c r="O83" s="4"/>
    </row>
    <row r="84" spans="1:15" s="1" customFormat="1" ht="13.8" x14ac:dyDescent="0.25">
      <c r="A84" s="44">
        <v>5</v>
      </c>
      <c r="B84" s="112" t="s">
        <v>205</v>
      </c>
      <c r="C84" s="135"/>
      <c r="D84" s="318"/>
      <c r="E84" s="318"/>
      <c r="F84" s="318"/>
      <c r="G84" s="318"/>
      <c r="H84" s="318"/>
      <c r="I84" s="115"/>
      <c r="J84" s="314"/>
      <c r="K84" s="314"/>
    </row>
    <row r="85" spans="1:15" s="1" customFormat="1" ht="13.8" x14ac:dyDescent="0.25">
      <c r="A85" s="44">
        <v>6</v>
      </c>
      <c r="B85" s="36"/>
      <c r="C85" s="135"/>
      <c r="D85" s="318"/>
      <c r="E85" s="318"/>
      <c r="F85" s="318"/>
      <c r="G85" s="318"/>
      <c r="H85" s="318"/>
      <c r="I85" s="115"/>
      <c r="J85" s="314"/>
      <c r="K85" s="314"/>
    </row>
    <row r="86" spans="1:15" s="1" customFormat="1" x14ac:dyDescent="0.3">
      <c r="A86" s="44">
        <v>7</v>
      </c>
      <c r="B86" s="197"/>
      <c r="C86" s="135"/>
      <c r="D86" s="318"/>
      <c r="E86" s="318"/>
      <c r="F86" s="318"/>
      <c r="G86" s="318"/>
      <c r="H86" s="318"/>
      <c r="I86" s="115"/>
      <c r="J86" s="314"/>
      <c r="K86" s="314"/>
    </row>
    <row r="87" spans="1:15" s="1" customFormat="1" ht="13.8" x14ac:dyDescent="0.25">
      <c r="A87" s="44">
        <v>8</v>
      </c>
      <c r="B87" s="116"/>
      <c r="C87" s="135"/>
      <c r="D87" s="319"/>
      <c r="E87" s="320"/>
      <c r="F87" s="320"/>
      <c r="G87" s="320"/>
      <c r="H87" s="321"/>
      <c r="I87" s="115"/>
      <c r="J87" s="314"/>
      <c r="K87" s="314"/>
    </row>
    <row r="88" spans="1:15" s="1" customFormat="1" ht="13.8" x14ac:dyDescent="0.25">
      <c r="A88" s="44">
        <v>9</v>
      </c>
      <c r="B88" s="116"/>
      <c r="C88" s="135"/>
      <c r="D88" s="318"/>
      <c r="E88" s="318"/>
      <c r="F88" s="318"/>
      <c r="G88" s="318"/>
      <c r="H88" s="318"/>
      <c r="I88" s="115"/>
      <c r="J88" s="314"/>
      <c r="K88" s="314"/>
    </row>
    <row r="89" spans="1:15" s="1" customFormat="1" ht="13.8" x14ac:dyDescent="0.25">
      <c r="A89" s="44">
        <v>10</v>
      </c>
      <c r="B89" s="116"/>
      <c r="C89" s="135"/>
      <c r="D89" s="318"/>
      <c r="E89" s="318"/>
      <c r="F89" s="318"/>
      <c r="G89" s="318"/>
      <c r="H89" s="318"/>
      <c r="I89" s="115"/>
      <c r="J89" s="314"/>
      <c r="K89" s="314"/>
    </row>
    <row r="90" spans="1:15" s="1" customFormat="1" ht="13.8" x14ac:dyDescent="0.25">
      <c r="A90" s="1" t="s">
        <v>153</v>
      </c>
      <c r="B90" s="9" t="s">
        <v>154</v>
      </c>
      <c r="C90" s="136">
        <f>SUM(C75:C89)</f>
        <v>0</v>
      </c>
      <c r="D90" s="25"/>
      <c r="E90" s="25"/>
      <c r="F90" s="25"/>
      <c r="G90" s="25"/>
    </row>
    <row r="91" spans="1:15" s="1" customFormat="1" ht="27.6" x14ac:dyDescent="0.25">
      <c r="B91" s="62" t="s">
        <v>155</v>
      </c>
      <c r="C91" s="137">
        <f>K60</f>
        <v>0</v>
      </c>
      <c r="D91" s="25"/>
      <c r="E91" s="25"/>
      <c r="F91" s="25"/>
      <c r="G91" s="25"/>
    </row>
    <row r="92" spans="1:15" s="1" customFormat="1" ht="13.8" x14ac:dyDescent="0.25">
      <c r="B92" s="62" t="s">
        <v>156</v>
      </c>
      <c r="C92" s="138">
        <f>C90-C91</f>
        <v>0</v>
      </c>
    </row>
    <row r="93" spans="1:15" s="1" customFormat="1" ht="28.2" thickBot="1" x14ac:dyDescent="0.3">
      <c r="B93" s="62" t="s">
        <v>157</v>
      </c>
      <c r="C93" s="51">
        <f>IF(ISERROR(C92/J53),0,C92/J53)</f>
        <v>0</v>
      </c>
      <c r="D93" s="80" t="str">
        <f>IF(AND(C93&lt;0.01,C93&gt;-0.01),"","Unresolved differences of greater than + or - 1% should be explained")</f>
        <v/>
      </c>
      <c r="F93" s="4"/>
    </row>
    <row r="94" spans="1:15" s="1" customFormat="1" thickTop="1" x14ac:dyDescent="0.25">
      <c r="B94" s="2"/>
      <c r="C94" s="46"/>
      <c r="D94" s="49"/>
      <c r="G94" s="4"/>
    </row>
    <row r="95" spans="1:15" s="1" customFormat="1" ht="13.8" x14ac:dyDescent="0.25">
      <c r="B95" s="2"/>
      <c r="C95" s="46"/>
      <c r="D95" s="32"/>
    </row>
    <row r="96" spans="1:15" s="1" customFormat="1" ht="13.8" x14ac:dyDescent="0.25"/>
    <row r="97" s="1" customFormat="1" ht="13.8" x14ac:dyDescent="0.25"/>
  </sheetData>
  <sheetProtection algorithmName="SHA-512" hashValue="q/3qIko880AFeJgLATr2km2OBBHP+Futq1cIC0KjLA56tEnoHIDRT4Q61oYidaDVHPF/eWXD6yFCjtINUcGOQg==" saltValue="ecgzcS80Bvx4e0jNSyfaGw==" spinCount="100000" sheet="1" objects="1" scenarios="1"/>
  <mergeCells count="46">
    <mergeCell ref="H61:J61"/>
    <mergeCell ref="B13:C13"/>
    <mergeCell ref="E13:F13"/>
    <mergeCell ref="B19:H19"/>
    <mergeCell ref="B25:F25"/>
    <mergeCell ref="B27:F27"/>
    <mergeCell ref="G59:K59"/>
    <mergeCell ref="G58:K58"/>
    <mergeCell ref="D77:H77"/>
    <mergeCell ref="J77:K77"/>
    <mergeCell ref="H62:J62"/>
    <mergeCell ref="H63:J63"/>
    <mergeCell ref="B65:D71"/>
    <mergeCell ref="F66:K71"/>
    <mergeCell ref="D74:H74"/>
    <mergeCell ref="I74:K74"/>
    <mergeCell ref="A75:B75"/>
    <mergeCell ref="D75:H75"/>
    <mergeCell ref="J75:K75"/>
    <mergeCell ref="D76:H76"/>
    <mergeCell ref="J76:K76"/>
    <mergeCell ref="B64:D64"/>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6:H86"/>
    <mergeCell ref="J86:K86"/>
    <mergeCell ref="D87:H87"/>
    <mergeCell ref="J87:K87"/>
    <mergeCell ref="D88:H88"/>
    <mergeCell ref="J88:K88"/>
    <mergeCell ref="D89:H89"/>
    <mergeCell ref="J89:K89"/>
  </mergeCells>
  <dataValidations count="2">
    <dataValidation type="list" allowBlank="1" showInputMessage="1" showErrorMessage="1" sqref="G27 I76:I89 G25" xr:uid="{4633CAD4-125A-42DE-A11F-16E6DAC98BC4}">
      <formula1>"Yes,No"</formula1>
    </dataValidation>
    <dataValidation type="list" sqref="C23" xr:uid="{F61338FC-AB65-4CE6-BAEB-88C407273DBF}">
      <formula1>"1st Estimate, 2nd Estimate, Actual"</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1C6F-AE31-450A-8650-FC48506F92E2}">
  <sheetPr codeName="Sheet14"/>
  <dimension ref="A12:W97"/>
  <sheetViews>
    <sheetView showGridLines="0" zoomScale="70" zoomScaleNormal="70" workbookViewId="0">
      <selection activeCell="C35" sqref="C35"/>
    </sheetView>
  </sheetViews>
  <sheetFormatPr defaultColWidth="9" defaultRowHeight="14.4" x14ac:dyDescent="0.3"/>
  <cols>
    <col min="1" max="1" width="10.33203125" customWidth="1"/>
    <col min="2" max="2" width="53.88671875" customWidth="1"/>
    <col min="3" max="3" width="28" customWidth="1"/>
    <col min="4" max="4" width="23" customWidth="1"/>
    <col min="5" max="5" width="19" customWidth="1"/>
    <col min="6" max="6" width="24.3320312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1" customFormat="1" ht="13.8" x14ac:dyDescent="0.25">
      <c r="A12" s="4" t="s">
        <v>74</v>
      </c>
      <c r="B12" s="22" t="s">
        <v>75</v>
      </c>
      <c r="C12" s="21"/>
      <c r="D12" s="21"/>
      <c r="E12" s="21"/>
      <c r="F12" s="21"/>
      <c r="I12" s="4"/>
      <c r="J12" s="4"/>
      <c r="K12" s="4"/>
      <c r="L12" s="4"/>
      <c r="M12" s="4"/>
      <c r="N12" s="4"/>
      <c r="O12" s="4"/>
      <c r="P12" s="4"/>
      <c r="Q12" s="4"/>
      <c r="R12" s="4"/>
      <c r="S12" s="4"/>
    </row>
    <row r="13" spans="1:19" s="1" customFormat="1" ht="13.8" x14ac:dyDescent="0.25">
      <c r="A13" s="4"/>
      <c r="B13" s="302" t="s">
        <v>4</v>
      </c>
      <c r="C13" s="302"/>
      <c r="D13" s="121">
        <v>2021</v>
      </c>
      <c r="E13" s="303"/>
      <c r="F13" s="304"/>
      <c r="G13" s="4"/>
      <c r="H13" s="4"/>
      <c r="I13" s="4"/>
      <c r="J13" s="4"/>
      <c r="K13" s="4"/>
      <c r="L13" s="4"/>
      <c r="M13" s="4"/>
      <c r="N13" s="4"/>
      <c r="O13" s="4"/>
      <c r="P13" s="4"/>
      <c r="Q13" s="4"/>
    </row>
    <row r="14" spans="1:19" s="1" customFormat="1" thickBot="1" x14ac:dyDescent="0.3">
      <c r="A14" s="4"/>
      <c r="B14" s="5" t="s">
        <v>76</v>
      </c>
      <c r="C14" s="6" t="s">
        <v>77</v>
      </c>
      <c r="D14" s="124">
        <f>VLOOKUP('1. Information Sheet'!$C$17,RRR_2021!$B$4:$U$68,19,FALSE)</f>
        <v>935004221</v>
      </c>
      <c r="E14" s="6" t="s">
        <v>78</v>
      </c>
      <c r="F14" s="256">
        <v>1</v>
      </c>
      <c r="G14" s="4"/>
      <c r="H14" s="4"/>
      <c r="I14" s="4"/>
      <c r="J14" s="4"/>
      <c r="K14" s="4"/>
      <c r="L14" s="4"/>
      <c r="M14" s="4"/>
      <c r="N14" s="4"/>
      <c r="O14" s="4"/>
      <c r="P14" s="4"/>
      <c r="Q14" s="4"/>
    </row>
    <row r="15" spans="1:19" s="1" customFormat="1" thickBot="1" x14ac:dyDescent="0.3">
      <c r="B15" s="5" t="s">
        <v>79</v>
      </c>
      <c r="C15" s="6" t="s">
        <v>80</v>
      </c>
      <c r="D15" s="124">
        <f>VLOOKUP('1. Information Sheet'!$C$17,RRR_2021!$B$4:$U$68,7,FALSE)</f>
        <v>458537750</v>
      </c>
      <c r="E15" s="6" t="s">
        <v>78</v>
      </c>
      <c r="F15" s="257">
        <f>IFERROR(D15/$D$14,0)</f>
        <v>0.49041249194531711</v>
      </c>
    </row>
    <row r="16" spans="1:19" s="1" customFormat="1" thickBot="1" x14ac:dyDescent="0.3">
      <c r="B16" s="5" t="s">
        <v>81</v>
      </c>
      <c r="C16" s="6" t="s">
        <v>82</v>
      </c>
      <c r="D16" s="124">
        <f>VLOOKUP('1. Information Sheet'!$C$17,RRR_2021!$B$4:$U$68,20,FALSE)</f>
        <v>476466471</v>
      </c>
      <c r="E16" s="6" t="s">
        <v>78</v>
      </c>
      <c r="F16" s="257">
        <f>IFERROR(D16/$D$14,0)</f>
        <v>0.50958750805468289</v>
      </c>
    </row>
    <row r="17" spans="1:9" s="1" customFormat="1" thickBot="1" x14ac:dyDescent="0.3">
      <c r="B17" s="5" t="s">
        <v>83</v>
      </c>
      <c r="C17" s="6" t="s">
        <v>84</v>
      </c>
      <c r="D17" s="124">
        <f>VLOOKUP('1. Information Sheet'!$C$17,RRR_2021!$B$4:$U$68,13,FALSE)</f>
        <v>277190567</v>
      </c>
      <c r="E17" s="6" t="s">
        <v>78</v>
      </c>
      <c r="F17" s="257">
        <f>IFERROR(D17/$D$14,0)</f>
        <v>0.29645916111858922</v>
      </c>
    </row>
    <row r="18" spans="1:9" s="1" customFormat="1" thickBot="1" x14ac:dyDescent="0.3">
      <c r="B18" s="5" t="s">
        <v>85</v>
      </c>
      <c r="C18" s="6" t="s">
        <v>86</v>
      </c>
      <c r="D18" s="124">
        <f>D16-D17</f>
        <v>199275904</v>
      </c>
      <c r="E18" s="6" t="s">
        <v>78</v>
      </c>
      <c r="F18" s="257">
        <f>IFERROR(D18/$D$14,0)</f>
        <v>0.21312834693609367</v>
      </c>
    </row>
    <row r="19" spans="1:9" s="1" customFormat="1" ht="34.5" customHeight="1" x14ac:dyDescent="0.25">
      <c r="B19" s="305" t="s">
        <v>87</v>
      </c>
      <c r="C19" s="305"/>
      <c r="D19" s="305"/>
      <c r="E19" s="305"/>
      <c r="F19" s="305"/>
      <c r="G19" s="306"/>
      <c r="H19" s="306"/>
    </row>
    <row r="20" spans="1:9" s="1" customFormat="1" ht="13.8" x14ac:dyDescent="0.25">
      <c r="D20" s="96"/>
    </row>
    <row r="21" spans="1:9" s="1" customFormat="1" ht="13.8" x14ac:dyDescent="0.25">
      <c r="A21" s="1" t="s">
        <v>88</v>
      </c>
      <c r="B21" s="3" t="s">
        <v>89</v>
      </c>
    </row>
    <row r="22" spans="1:9" s="1" customFormat="1" ht="13.8" x14ac:dyDescent="0.25">
      <c r="B22" s="3"/>
    </row>
    <row r="23" spans="1:9" s="1" customFormat="1" ht="13.8" x14ac:dyDescent="0.25">
      <c r="B23" s="2" t="s">
        <v>90</v>
      </c>
      <c r="C23" s="115" t="s">
        <v>206</v>
      </c>
      <c r="D23" s="1" t="s">
        <v>207</v>
      </c>
      <c r="E23" s="4"/>
    </row>
    <row r="24" spans="1:9" s="1" customFormat="1" ht="13.8" x14ac:dyDescent="0.25"/>
    <row r="25" spans="1:9" s="1" customFormat="1" ht="59.4" customHeight="1" x14ac:dyDescent="0.25">
      <c r="B25" s="338" t="s">
        <v>208</v>
      </c>
      <c r="C25" s="338"/>
      <c r="D25" s="338"/>
      <c r="E25" s="338"/>
      <c r="G25" s="115"/>
    </row>
    <row r="26" spans="1:9" s="1" customFormat="1" ht="13.8" x14ac:dyDescent="0.25"/>
    <row r="27" spans="1:9" s="1" customFormat="1" x14ac:dyDescent="0.3">
      <c r="B27" s="2" t="s">
        <v>166</v>
      </c>
      <c r="C27"/>
      <c r="D27"/>
      <c r="E27"/>
      <c r="G27" s="115"/>
    </row>
    <row r="28" spans="1:9" s="1" customFormat="1" ht="15" customHeight="1" x14ac:dyDescent="0.25">
      <c r="E28" s="4"/>
      <c r="H28" s="9"/>
    </row>
    <row r="29" spans="1:9" s="1" customFormat="1" ht="15" customHeight="1" x14ac:dyDescent="0.3">
      <c r="B29" s="2" t="s">
        <v>167</v>
      </c>
      <c r="C29"/>
      <c r="D29"/>
      <c r="E29"/>
      <c r="F29"/>
      <c r="G29" s="115"/>
      <c r="H29" s="9"/>
    </row>
    <row r="30" spans="1:9" s="1" customFormat="1" ht="15" customHeight="1" x14ac:dyDescent="0.25">
      <c r="B30" s="9"/>
      <c r="C30" s="9"/>
      <c r="D30" s="9"/>
      <c r="E30" s="9"/>
      <c r="F30" s="9"/>
      <c r="G30" s="9"/>
      <c r="H30" s="9"/>
    </row>
    <row r="31" spans="1:9" s="1" customFormat="1" ht="15" hidden="1" customHeight="1" x14ac:dyDescent="0.25">
      <c r="B31" s="9"/>
      <c r="C31" s="9" t="e">
        <v>#REF!</v>
      </c>
      <c r="D31" s="9" t="e">
        <v>#REF!</v>
      </c>
      <c r="E31" s="9" t="e">
        <v>#REF!</v>
      </c>
      <c r="F31" s="9" t="e">
        <v>#REF!</v>
      </c>
      <c r="G31" s="9" t="e">
        <f>F31-C31</f>
        <v>#REF!</v>
      </c>
      <c r="H31" s="9" t="e">
        <v>#REF!</v>
      </c>
      <c r="I31" s="1">
        <f>IF(ISERROR(G31/H31),0,G31/H31)</f>
        <v>0</v>
      </c>
    </row>
    <row r="32" spans="1:9" s="1" customFormat="1" ht="14.25" hidden="1" customHeight="1" x14ac:dyDescent="0.25">
      <c r="B32" s="9"/>
      <c r="C32" s="9" t="e">
        <v>#REF!</v>
      </c>
      <c r="D32" s="9" t="e">
        <v>#REF!</v>
      </c>
      <c r="E32" s="9" t="e">
        <v>#REF!</v>
      </c>
      <c r="F32" s="9" t="e">
        <v>#REF!</v>
      </c>
      <c r="G32" s="9" t="e">
        <f>F32-C32</f>
        <v>#REF!</v>
      </c>
      <c r="H32" s="9" t="e">
        <v>#REF!</v>
      </c>
      <c r="I32" s="1">
        <f>IF(ISERROR(G32/H32),0,G32/H32)</f>
        <v>0</v>
      </c>
    </row>
    <row r="33" spans="1:23" s="1" customFormat="1" ht="14.25" hidden="1" customHeight="1" x14ac:dyDescent="0.25">
      <c r="B33" s="9"/>
      <c r="C33" s="9" t="e">
        <v>#REF!</v>
      </c>
      <c r="D33" s="9" t="e">
        <v>#REF!</v>
      </c>
      <c r="E33" s="9" t="e">
        <v>#REF!</v>
      </c>
      <c r="F33" s="9" t="e">
        <v>#REF!</v>
      </c>
      <c r="G33" s="9" t="e">
        <f>F33-C33</f>
        <v>#REF!</v>
      </c>
      <c r="H33" s="9" t="e">
        <v>#REF!</v>
      </c>
      <c r="I33" s="1">
        <f>IF(ISERROR(G33/H33),0,G33/H33)</f>
        <v>0</v>
      </c>
    </row>
    <row r="34" spans="1:23" s="1" customFormat="1" ht="14.25" hidden="1" customHeight="1" x14ac:dyDescent="0.25">
      <c r="B34" s="9"/>
      <c r="C34" s="9" t="e">
        <v>#REF!</v>
      </c>
      <c r="D34" s="9" t="e">
        <v>#REF!</v>
      </c>
      <c r="E34" s="9" t="e">
        <v>#REF!</v>
      </c>
      <c r="F34" s="9" t="e">
        <v>#REF!</v>
      </c>
      <c r="G34" s="9" t="e">
        <f>F34-C34</f>
        <v>#REF!</v>
      </c>
      <c r="H34" s="9" t="e">
        <v>#REF!</v>
      </c>
      <c r="I34" s="1">
        <f>IF(ISERROR(G34/H34),0,G34/H34)</f>
        <v>0</v>
      </c>
    </row>
    <row r="35" spans="1:23" s="1" customFormat="1" ht="14.25" customHeight="1" x14ac:dyDescent="0.25">
      <c r="B35" s="9"/>
      <c r="C35" s="9" t="e">
        <v>#REF!</v>
      </c>
      <c r="D35" s="9" t="e">
        <v>#REF!</v>
      </c>
      <c r="E35" s="9" t="e">
        <v>#REF!</v>
      </c>
      <c r="F35" s="9" t="e">
        <v>#REF!</v>
      </c>
      <c r="G35" s="9" t="e">
        <f>F35-C35</f>
        <v>#REF!</v>
      </c>
      <c r="H35" s="9" t="e">
        <v>#REF!</v>
      </c>
      <c r="I35" s="1">
        <f>IF(ISERROR(G35/H35),0,G35/H35)</f>
        <v>0</v>
      </c>
    </row>
    <row r="36" spans="1:23" s="1" customFormat="1" ht="13.8" x14ac:dyDescent="0.25"/>
    <row r="37" spans="1:23" s="1" customFormat="1" ht="13.8" x14ac:dyDescent="0.25">
      <c r="A37" s="1" t="s">
        <v>92</v>
      </c>
      <c r="B37" s="37" t="s">
        <v>93</v>
      </c>
      <c r="C37" s="3"/>
    </row>
    <row r="38" spans="1:23" s="1" customFormat="1" ht="15" thickBot="1" x14ac:dyDescent="0.35">
      <c r="B38" s="2" t="s">
        <v>4</v>
      </c>
      <c r="C38" s="122">
        <v>2021</v>
      </c>
      <c r="D38" s="4"/>
      <c r="E38" s="4"/>
      <c r="F38" s="68"/>
      <c r="G38" s="2"/>
      <c r="H38" s="2"/>
      <c r="I38" s="2"/>
      <c r="J38" s="2"/>
      <c r="K38" s="2"/>
      <c r="N38"/>
      <c r="O38"/>
      <c r="P38"/>
      <c r="Q38"/>
      <c r="R38"/>
      <c r="S38"/>
      <c r="T38"/>
      <c r="U38"/>
      <c r="V38"/>
      <c r="W38"/>
    </row>
    <row r="39" spans="1:23" s="9" customFormat="1" ht="80.25" customHeight="1" thickBot="1" x14ac:dyDescent="0.35">
      <c r="B39" s="40" t="s">
        <v>95</v>
      </c>
      <c r="C39" s="52" t="s">
        <v>96</v>
      </c>
      <c r="D39" s="69" t="s">
        <v>97</v>
      </c>
      <c r="E39" s="70" t="s">
        <v>98</v>
      </c>
      <c r="F39" s="57" t="s">
        <v>99</v>
      </c>
      <c r="G39" s="26" t="s">
        <v>209</v>
      </c>
      <c r="H39" s="26" t="s">
        <v>101</v>
      </c>
      <c r="I39" s="26" t="s">
        <v>210</v>
      </c>
      <c r="J39" s="26" t="s">
        <v>103</v>
      </c>
      <c r="K39" s="58" t="s">
        <v>168</v>
      </c>
      <c r="N39"/>
      <c r="O39"/>
      <c r="P39"/>
      <c r="Q39"/>
      <c r="R39"/>
      <c r="S39"/>
      <c r="T39"/>
      <c r="U39"/>
      <c r="V39"/>
      <c r="W39"/>
    </row>
    <row r="40" spans="1:23" s="9" customFormat="1" x14ac:dyDescent="0.3">
      <c r="B40" s="12"/>
      <c r="C40" s="53" t="s">
        <v>105</v>
      </c>
      <c r="D40" s="53" t="s">
        <v>106</v>
      </c>
      <c r="E40" s="54" t="s">
        <v>107</v>
      </c>
      <c r="F40" s="54" t="s">
        <v>108</v>
      </c>
      <c r="G40" s="54" t="s">
        <v>109</v>
      </c>
      <c r="H40" s="55" t="s">
        <v>110</v>
      </c>
      <c r="I40" s="54" t="s">
        <v>111</v>
      </c>
      <c r="J40" s="55" t="s">
        <v>112</v>
      </c>
      <c r="K40" s="56" t="s">
        <v>169</v>
      </c>
      <c r="N40"/>
      <c r="O40"/>
      <c r="P40"/>
      <c r="Q40"/>
      <c r="R40"/>
      <c r="S40"/>
      <c r="T40"/>
      <c r="U40"/>
      <c r="V40"/>
      <c r="W40"/>
    </row>
    <row r="41" spans="1:23" s="1" customFormat="1" x14ac:dyDescent="0.3">
      <c r="B41" s="13" t="s">
        <v>118</v>
      </c>
      <c r="C41" s="125"/>
      <c r="D41" s="125"/>
      <c r="E41" s="126"/>
      <c r="F41" s="127">
        <f>C41-D41+E41</f>
        <v>0</v>
      </c>
      <c r="G41" s="20">
        <f>IF($C$23="1st Estimate",'GA Rates'!H4,IF($C$23="2nd Estimate",'GA Rates'!I4,IF($C$23="Actual",'GA Rates'!J4,0)))</f>
        <v>9.0920000000000001E-2</v>
      </c>
      <c r="H41" s="130">
        <f>F41*G41</f>
        <v>0</v>
      </c>
      <c r="I41" s="20">
        <f>'GA Rates'!J4</f>
        <v>8.7980000000000003E-2</v>
      </c>
      <c r="J41" s="132">
        <f>F41*I41</f>
        <v>0</v>
      </c>
      <c r="K41" s="133">
        <f>J41-H41</f>
        <v>0</v>
      </c>
      <c r="N41"/>
      <c r="O41"/>
      <c r="P41"/>
      <c r="Q41"/>
      <c r="R41"/>
      <c r="S41"/>
      <c r="T41"/>
      <c r="U41"/>
      <c r="V41"/>
      <c r="W41"/>
    </row>
    <row r="42" spans="1:23" s="1" customFormat="1" hidden="1" x14ac:dyDescent="0.3">
      <c r="B42" s="13" t="s">
        <v>119</v>
      </c>
      <c r="C42" s="125"/>
      <c r="D42" s="125"/>
      <c r="E42" s="126"/>
      <c r="F42" s="127">
        <f t="shared" ref="F42:F52" si="0">C42-D42+E42</f>
        <v>0</v>
      </c>
      <c r="G42" s="20">
        <f>IF($C$23="1st Estimate",'GA Rates'!H5,IF($C$23="2nd Estimate",'GA Rates'!I5,IF($C$23="Actual",'GA Rates'!J5,0)))</f>
        <v>0.10485</v>
      </c>
      <c r="H42" s="130">
        <f t="shared" ref="H42:H52" si="1">F42*G42</f>
        <v>0</v>
      </c>
      <c r="I42" s="20">
        <f>'GA Rates'!J5</f>
        <v>5.7509999999999999E-2</v>
      </c>
      <c r="J42" s="132">
        <f t="shared" ref="J42:J52" si="2">F42*I42</f>
        <v>0</v>
      </c>
      <c r="K42" s="133">
        <f t="shared" ref="K42:K52" si="3">J42-H42</f>
        <v>0</v>
      </c>
      <c r="N42"/>
      <c r="O42"/>
      <c r="P42"/>
      <c r="Q42"/>
      <c r="R42"/>
      <c r="S42"/>
      <c r="T42"/>
      <c r="U42"/>
      <c r="V42"/>
      <c r="W42"/>
    </row>
    <row r="43" spans="1:23" s="1" customFormat="1" hidden="1" x14ac:dyDescent="0.3">
      <c r="B43" s="13" t="s">
        <v>120</v>
      </c>
      <c r="C43" s="125"/>
      <c r="D43" s="125"/>
      <c r="E43" s="126"/>
      <c r="F43" s="127">
        <f t="shared" si="0"/>
        <v>0</v>
      </c>
      <c r="G43" s="20">
        <f>IF($C$23="1st Estimate",'GA Rates'!H6,IF($C$23="2nd Estimate",'GA Rates'!I6,IF($C$23="Actual",'GA Rates'!J6,0)))</f>
        <v>8.4199999999999997E-2</v>
      </c>
      <c r="H43" s="130">
        <f t="shared" si="1"/>
        <v>0</v>
      </c>
      <c r="I43" s="20">
        <f>'GA Rates'!J6</f>
        <v>9.6679999999999988E-2</v>
      </c>
      <c r="J43" s="132">
        <f t="shared" si="2"/>
        <v>0</v>
      </c>
      <c r="K43" s="133">
        <f t="shared" si="3"/>
        <v>0</v>
      </c>
      <c r="N43"/>
      <c r="O43"/>
      <c r="P43"/>
      <c r="Q43"/>
      <c r="R43"/>
      <c r="S43"/>
      <c r="T43"/>
      <c r="U43"/>
      <c r="V43"/>
      <c r="W43"/>
    </row>
    <row r="44" spans="1:23" s="1" customFormat="1" hidden="1" x14ac:dyDescent="0.3">
      <c r="B44" s="13" t="s">
        <v>121</v>
      </c>
      <c r="C44" s="125"/>
      <c r="D44" s="125"/>
      <c r="E44" s="126"/>
      <c r="F44" s="127">
        <f t="shared" si="0"/>
        <v>0</v>
      </c>
      <c r="G44" s="20">
        <f>IF($C$23="1st Estimate",'GA Rates'!H7,IF($C$23="2nd Estimate",'GA Rates'!I7,IF($C$23="Actual",'GA Rates'!J7,0)))</f>
        <v>6.9690000000000002E-2</v>
      </c>
      <c r="H44" s="130">
        <f t="shared" si="1"/>
        <v>0</v>
      </c>
      <c r="I44" s="20">
        <f>'GA Rates'!J7</f>
        <v>0.11589000000000001</v>
      </c>
      <c r="J44" s="132">
        <f t="shared" si="2"/>
        <v>0</v>
      </c>
      <c r="K44" s="133">
        <f t="shared" si="3"/>
        <v>0</v>
      </c>
      <c r="N44"/>
      <c r="O44"/>
      <c r="P44"/>
      <c r="Q44"/>
      <c r="R44"/>
      <c r="S44"/>
      <c r="T44"/>
      <c r="U44"/>
      <c r="V44"/>
      <c r="W44"/>
    </row>
    <row r="45" spans="1:23" s="1" customFormat="1" hidden="1" x14ac:dyDescent="0.3">
      <c r="B45" s="13" t="s">
        <v>122</v>
      </c>
      <c r="C45" s="125"/>
      <c r="D45" s="125"/>
      <c r="E45" s="126"/>
      <c r="F45" s="127">
        <f t="shared" si="0"/>
        <v>0</v>
      </c>
      <c r="G45" s="20">
        <f>IF($C$23="1st Estimate",'GA Rates'!H8,IF($C$23="2nd Estimate",'GA Rates'!I8,IF($C$23="Actual",'GA Rates'!J8,0)))</f>
        <v>0.10531</v>
      </c>
      <c r="H45" s="130">
        <f t="shared" si="1"/>
        <v>0</v>
      </c>
      <c r="I45" s="20">
        <f>'GA Rates'!J8</f>
        <v>0.10675000000000001</v>
      </c>
      <c r="J45" s="132">
        <f t="shared" si="2"/>
        <v>0</v>
      </c>
      <c r="K45" s="133">
        <f t="shared" si="3"/>
        <v>0</v>
      </c>
      <c r="N45"/>
      <c r="O45"/>
      <c r="P45"/>
      <c r="Q45"/>
      <c r="R45"/>
      <c r="S45"/>
      <c r="T45"/>
      <c r="U45"/>
      <c r="V45"/>
      <c r="W45"/>
    </row>
    <row r="46" spans="1:23" s="1" customFormat="1" x14ac:dyDescent="0.3">
      <c r="B46" s="13" t="s">
        <v>123</v>
      </c>
      <c r="C46" s="125"/>
      <c r="D46" s="125"/>
      <c r="E46" s="126"/>
      <c r="F46" s="127">
        <f t="shared" si="0"/>
        <v>0</v>
      </c>
      <c r="G46" s="20">
        <f>IF($C$23="1st Estimate",'GA Rates'!H9,IF($C$23="2nd Estimate",'GA Rates'!I9,IF($C$23="Actual",'GA Rates'!J9,0)))</f>
        <v>0.11352000000000001</v>
      </c>
      <c r="H46" s="130">
        <f t="shared" si="1"/>
        <v>0</v>
      </c>
      <c r="I46" s="20">
        <f>'GA Rates'!J9</f>
        <v>9.2159999999999992E-2</v>
      </c>
      <c r="J46" s="132">
        <f t="shared" si="2"/>
        <v>0</v>
      </c>
      <c r="K46" s="133">
        <f t="shared" si="3"/>
        <v>0</v>
      </c>
      <c r="N46"/>
      <c r="O46"/>
      <c r="P46"/>
      <c r="Q46"/>
      <c r="R46"/>
      <c r="S46"/>
      <c r="T46"/>
      <c r="U46"/>
      <c r="V46"/>
      <c r="W46"/>
    </row>
    <row r="47" spans="1:23" s="1" customFormat="1" x14ac:dyDescent="0.3">
      <c r="B47" s="13" t="s">
        <v>124</v>
      </c>
      <c r="C47" s="126"/>
      <c r="D47" s="125"/>
      <c r="E47" s="126"/>
      <c r="F47" s="127">
        <f t="shared" si="0"/>
        <v>0</v>
      </c>
      <c r="G47" s="20">
        <f>IF($C$23="1st Estimate",'GA Rates'!H10,IF($C$23="2nd Estimate",'GA Rates'!I10,IF($C$23="Actual",'GA Rates'!J10,0)))</f>
        <v>7.6120000000000007E-2</v>
      </c>
      <c r="H47" s="130">
        <f t="shared" si="1"/>
        <v>0</v>
      </c>
      <c r="I47" s="20">
        <f>'GA Rates'!J10</f>
        <v>7.918E-2</v>
      </c>
      <c r="J47" s="132">
        <f t="shared" si="2"/>
        <v>0</v>
      </c>
      <c r="K47" s="133">
        <f t="shared" si="3"/>
        <v>0</v>
      </c>
      <c r="N47"/>
      <c r="O47"/>
      <c r="P47"/>
      <c r="Q47"/>
      <c r="R47"/>
      <c r="S47"/>
      <c r="T47"/>
      <c r="U47"/>
      <c r="V47"/>
      <c r="W47"/>
    </row>
    <row r="48" spans="1:23" s="1" customFormat="1" x14ac:dyDescent="0.3">
      <c r="B48" s="13" t="s">
        <v>125</v>
      </c>
      <c r="C48" s="126"/>
      <c r="D48" s="125"/>
      <c r="E48" s="126"/>
      <c r="F48" s="127">
        <f t="shared" si="0"/>
        <v>0</v>
      </c>
      <c r="G48" s="20">
        <f>IF($C$23="1st Estimate",'GA Rates'!H11,IF($C$23="2nd Estimate",'GA Rates'!I11,IF($C$23="Actual",'GA Rates'!J11,0)))</f>
        <v>8.7340000000000001E-2</v>
      </c>
      <c r="H48" s="130">
        <f t="shared" si="1"/>
        <v>0</v>
      </c>
      <c r="I48" s="20">
        <f>'GA Rates'!J11</f>
        <v>5.1070000000000004E-2</v>
      </c>
      <c r="J48" s="132">
        <f t="shared" si="2"/>
        <v>0</v>
      </c>
      <c r="K48" s="133">
        <f t="shared" si="3"/>
        <v>0</v>
      </c>
      <c r="N48"/>
      <c r="O48"/>
      <c r="P48"/>
      <c r="Q48"/>
      <c r="R48"/>
      <c r="S48"/>
      <c r="T48"/>
      <c r="U48"/>
      <c r="V48"/>
      <c r="W48"/>
    </row>
    <row r="49" spans="2:23" s="1" customFormat="1" x14ac:dyDescent="0.3">
      <c r="B49" s="13" t="s">
        <v>126</v>
      </c>
      <c r="C49" s="126"/>
      <c r="D49" s="125"/>
      <c r="E49" s="126"/>
      <c r="F49" s="127">
        <f t="shared" si="0"/>
        <v>0</v>
      </c>
      <c r="G49" s="20">
        <f>IF($C$23="1st Estimate",'GA Rates'!H12,IF($C$23="2nd Estimate",'GA Rates'!I12,IF($C$23="Actual",'GA Rates'!J12,0)))</f>
        <v>5.5190000000000003E-2</v>
      </c>
      <c r="H49" s="130">
        <f t="shared" si="1"/>
        <v>0</v>
      </c>
      <c r="I49" s="20">
        <f>'GA Rates'!J12</f>
        <v>8.234000000000001E-2</v>
      </c>
      <c r="J49" s="132">
        <f t="shared" si="2"/>
        <v>0</v>
      </c>
      <c r="K49" s="133">
        <f t="shared" si="3"/>
        <v>0</v>
      </c>
      <c r="N49"/>
      <c r="O49"/>
      <c r="P49"/>
      <c r="Q49"/>
      <c r="R49"/>
      <c r="S49"/>
      <c r="T49"/>
      <c r="U49"/>
      <c r="V49"/>
      <c r="W49"/>
    </row>
    <row r="50" spans="2:23" s="1" customFormat="1" x14ac:dyDescent="0.3">
      <c r="B50" s="13" t="s">
        <v>127</v>
      </c>
      <c r="C50" s="126"/>
      <c r="D50" s="125"/>
      <c r="E50" s="126"/>
      <c r="F50" s="127">
        <f t="shared" si="0"/>
        <v>0</v>
      </c>
      <c r="G50" s="20">
        <f>IF($C$23="1st Estimate",'GA Rates'!H13,IF($C$23="2nd Estimate",'GA Rates'!I13,IF($C$23="Actual",'GA Rates'!J13,0)))</f>
        <v>7.4020000000000002E-2</v>
      </c>
      <c r="H50" s="130">
        <f t="shared" si="1"/>
        <v>0</v>
      </c>
      <c r="I50" s="20">
        <f>'GA Rates'!J13</f>
        <v>5.8400000000000001E-2</v>
      </c>
      <c r="J50" s="132">
        <f t="shared" si="2"/>
        <v>0</v>
      </c>
      <c r="K50" s="133">
        <f t="shared" si="3"/>
        <v>0</v>
      </c>
      <c r="N50"/>
      <c r="O50"/>
      <c r="P50"/>
      <c r="Q50"/>
      <c r="R50"/>
      <c r="S50"/>
      <c r="T50"/>
      <c r="U50"/>
      <c r="V50"/>
      <c r="W50"/>
    </row>
    <row r="51" spans="2:23" s="1" customFormat="1" x14ac:dyDescent="0.3">
      <c r="B51" s="13" t="s">
        <v>128</v>
      </c>
      <c r="C51" s="126"/>
      <c r="D51" s="125"/>
      <c r="E51" s="126"/>
      <c r="F51" s="127">
        <f t="shared" si="0"/>
        <v>0</v>
      </c>
      <c r="G51" s="20">
        <f>IF($C$23="1st Estimate",'GA Rates'!H14,IF($C$23="2nd Estimate",'GA Rates'!I14,IF($C$23="Actual",'GA Rates'!J14,0)))</f>
        <v>6.3420000000000004E-2</v>
      </c>
      <c r="H51" s="130">
        <f t="shared" si="1"/>
        <v>0</v>
      </c>
      <c r="I51" s="20">
        <f>'GA Rates'!J14</f>
        <v>6.0120000000000007E-2</v>
      </c>
      <c r="J51" s="132">
        <f t="shared" si="2"/>
        <v>0</v>
      </c>
      <c r="K51" s="133">
        <f t="shared" si="3"/>
        <v>0</v>
      </c>
      <c r="N51"/>
      <c r="O51"/>
      <c r="P51"/>
      <c r="Q51"/>
      <c r="R51"/>
      <c r="S51"/>
      <c r="T51"/>
      <c r="U51"/>
      <c r="V51"/>
      <c r="W51"/>
    </row>
    <row r="52" spans="2:23" s="1" customFormat="1" x14ac:dyDescent="0.3">
      <c r="B52" s="13" t="s">
        <v>129</v>
      </c>
      <c r="C52" s="128"/>
      <c r="D52" s="125"/>
      <c r="E52" s="126"/>
      <c r="F52" s="127">
        <f t="shared" si="0"/>
        <v>0</v>
      </c>
      <c r="G52" s="20">
        <f>IF($C$23="1st Estimate",'GA Rates'!H15,IF($C$23="2nd Estimate",'GA Rates'!I15,IF($C$23="Actual",'GA Rates'!J15,0)))</f>
        <v>5.4429999999999999E-2</v>
      </c>
      <c r="H52" s="130">
        <f t="shared" si="1"/>
        <v>0</v>
      </c>
      <c r="I52" s="20">
        <f>'GA Rates'!J15</f>
        <v>6.515E-2</v>
      </c>
      <c r="J52" s="132">
        <f t="shared" si="2"/>
        <v>0</v>
      </c>
      <c r="K52" s="133">
        <f t="shared" si="3"/>
        <v>0</v>
      </c>
      <c r="N52"/>
      <c r="O52"/>
      <c r="P52"/>
      <c r="Q52"/>
      <c r="R52"/>
      <c r="S52"/>
      <c r="T52"/>
      <c r="U52"/>
      <c r="V52"/>
      <c r="W52"/>
    </row>
    <row r="53" spans="2:23" s="1" customFormat="1" ht="28.8" thickBot="1" x14ac:dyDescent="0.35">
      <c r="B53" s="102" t="s">
        <v>130</v>
      </c>
      <c r="C53" s="129">
        <f>SUM(C41:C52)</f>
        <v>0</v>
      </c>
      <c r="D53" s="129">
        <f>SUM(D41:D52)</f>
        <v>0</v>
      </c>
      <c r="E53" s="129">
        <f>SUM(E41:E52)</f>
        <v>0</v>
      </c>
      <c r="F53" s="129">
        <f>SUM(F41:F52)</f>
        <v>0</v>
      </c>
      <c r="G53" s="33"/>
      <c r="H53" s="131">
        <f>SUM(H41:H52)</f>
        <v>0</v>
      </c>
      <c r="I53" s="33"/>
      <c r="J53" s="131">
        <f>SUM(J41:J52)</f>
        <v>0</v>
      </c>
      <c r="K53" s="134">
        <f>SUM(K41:K52)</f>
        <v>0</v>
      </c>
      <c r="N53"/>
      <c r="O53"/>
      <c r="P53"/>
      <c r="Q53"/>
      <c r="R53"/>
      <c r="S53"/>
      <c r="T53"/>
      <c r="U53"/>
      <c r="V53"/>
      <c r="W53"/>
    </row>
    <row r="54" spans="2:23" s="1" customFormat="1" ht="15" thickBot="1" x14ac:dyDescent="0.35">
      <c r="B54" s="62"/>
      <c r="C54" s="177"/>
      <c r="D54" s="177"/>
      <c r="E54" s="177"/>
      <c r="F54" s="177"/>
      <c r="G54" s="2"/>
      <c r="H54" s="178"/>
      <c r="I54" s="2"/>
      <c r="J54" s="178"/>
      <c r="K54" s="178"/>
      <c r="N54"/>
      <c r="O54"/>
      <c r="P54"/>
      <c r="Q54"/>
      <c r="R54"/>
      <c r="S54"/>
      <c r="T54"/>
      <c r="U54"/>
      <c r="V54"/>
      <c r="W54"/>
    </row>
    <row r="55" spans="2:23" s="1" customFormat="1" ht="83.4" customHeight="1" x14ac:dyDescent="0.3">
      <c r="B55" s="266" t="s">
        <v>211</v>
      </c>
      <c r="C55" s="177"/>
      <c r="D55" s="177"/>
      <c r="E55" s="177"/>
      <c r="F55" s="177"/>
      <c r="G55" s="182" t="s">
        <v>170</v>
      </c>
      <c r="H55" s="183" t="s">
        <v>212</v>
      </c>
      <c r="I55" s="54" t="s">
        <v>172</v>
      </c>
      <c r="J55" s="184" t="s">
        <v>173</v>
      </c>
      <c r="K55" s="185" t="s">
        <v>174</v>
      </c>
      <c r="N55"/>
      <c r="O55"/>
      <c r="P55"/>
      <c r="Q55"/>
      <c r="R55"/>
      <c r="S55"/>
      <c r="T55"/>
      <c r="U55"/>
      <c r="V55"/>
      <c r="W55"/>
    </row>
    <row r="56" spans="2:23" s="1" customFormat="1" ht="13.8" x14ac:dyDescent="0.25">
      <c r="G56" s="186" t="s">
        <v>175</v>
      </c>
      <c r="H56" s="187" t="s">
        <v>176</v>
      </c>
      <c r="I56" s="188" t="s">
        <v>177</v>
      </c>
      <c r="J56" s="189" t="s">
        <v>178</v>
      </c>
      <c r="K56" s="190" t="s">
        <v>179</v>
      </c>
      <c r="O56" s="29"/>
      <c r="P56" s="29"/>
      <c r="Q56" s="29"/>
      <c r="R56" s="29"/>
      <c r="S56" s="29"/>
      <c r="T56" s="29"/>
      <c r="U56" s="29"/>
      <c r="V56" s="29"/>
      <c r="W56" s="29"/>
    </row>
    <row r="57" spans="2:23" s="1" customFormat="1" thickBot="1" x14ac:dyDescent="0.3">
      <c r="G57" s="261"/>
      <c r="H57" s="221">
        <f>F53-SUM(F44:F46)</f>
        <v>0</v>
      </c>
      <c r="I57" s="221">
        <f>G57-H57</f>
        <v>0</v>
      </c>
      <c r="J57" s="264"/>
      <c r="K57" s="220">
        <f>I57*J57</f>
        <v>0</v>
      </c>
      <c r="O57" s="29"/>
      <c r="P57" s="29"/>
      <c r="Q57" s="29"/>
      <c r="R57" s="29"/>
      <c r="S57" s="29"/>
      <c r="T57" s="29"/>
      <c r="U57" s="29"/>
      <c r="V57" s="29"/>
      <c r="W57" s="29"/>
    </row>
    <row r="58" spans="2:23" s="1" customFormat="1" ht="42.6" customHeight="1" x14ac:dyDescent="0.25">
      <c r="G58" s="335"/>
      <c r="H58" s="335"/>
      <c r="I58" s="335"/>
      <c r="J58" s="335"/>
      <c r="K58" s="335"/>
      <c r="O58" s="29"/>
      <c r="P58" s="29"/>
      <c r="Q58" s="29"/>
      <c r="R58" s="29"/>
      <c r="S58" s="29"/>
      <c r="T58" s="29"/>
      <c r="U58" s="29"/>
      <c r="V58" s="29"/>
      <c r="W58" s="29"/>
    </row>
    <row r="59" spans="2:23" s="1" customFormat="1" ht="67.2" customHeight="1" thickBot="1" x14ac:dyDescent="0.3">
      <c r="G59" s="334"/>
      <c r="H59" s="334"/>
      <c r="I59" s="334"/>
      <c r="J59" s="334"/>
      <c r="K59" s="334"/>
      <c r="O59" s="29"/>
      <c r="P59" s="29"/>
      <c r="Q59" s="29"/>
      <c r="R59" s="29"/>
      <c r="S59" s="29"/>
      <c r="T59" s="29"/>
      <c r="U59" s="29"/>
      <c r="V59" s="29"/>
      <c r="W59" s="29"/>
    </row>
    <row r="60" spans="2:23" s="1" customFormat="1" thickBot="1" x14ac:dyDescent="0.3">
      <c r="G60" s="179"/>
      <c r="H60" s="180"/>
      <c r="I60" s="181"/>
      <c r="J60" s="191" t="s">
        <v>182</v>
      </c>
      <c r="K60" s="192">
        <f>K53+K57</f>
        <v>0</v>
      </c>
      <c r="O60" s="29"/>
      <c r="P60" s="29"/>
      <c r="Q60" s="29"/>
      <c r="R60" s="29"/>
      <c r="S60" s="29"/>
      <c r="T60" s="29"/>
      <c r="U60" s="29"/>
      <c r="V60" s="29"/>
      <c r="W60" s="29"/>
    </row>
    <row r="61" spans="2:23" s="1" customFormat="1" ht="60" customHeight="1" x14ac:dyDescent="0.25">
      <c r="H61" s="317" t="s">
        <v>183</v>
      </c>
      <c r="I61" s="317"/>
      <c r="J61" s="317"/>
      <c r="K61" s="239">
        <f>IFERROR(F53/D18,0)</f>
        <v>0</v>
      </c>
      <c r="O61" s="29"/>
      <c r="P61" s="29"/>
      <c r="Q61" s="29"/>
      <c r="R61" s="29"/>
      <c r="S61" s="29"/>
      <c r="T61" s="29"/>
      <c r="U61" s="29"/>
      <c r="V61" s="29"/>
      <c r="W61" s="29"/>
    </row>
    <row r="62" spans="2:23" s="1" customFormat="1" ht="30" customHeight="1" x14ac:dyDescent="0.25">
      <c r="H62" s="317" t="s">
        <v>184</v>
      </c>
      <c r="I62" s="317"/>
      <c r="J62" s="317"/>
      <c r="K62" s="237"/>
      <c r="O62" s="29"/>
      <c r="P62" s="29"/>
      <c r="Q62" s="29"/>
      <c r="R62" s="29"/>
      <c r="S62" s="29"/>
      <c r="T62" s="29"/>
      <c r="U62" s="29"/>
      <c r="V62" s="29"/>
      <c r="W62" s="29"/>
    </row>
    <row r="63" spans="2:23" s="1" customFormat="1" ht="13.8" x14ac:dyDescent="0.25">
      <c r="H63" s="317" t="s">
        <v>185</v>
      </c>
      <c r="I63" s="317"/>
      <c r="J63" s="317"/>
      <c r="K63" s="111">
        <f>K61-K62</f>
        <v>0</v>
      </c>
      <c r="O63" s="29"/>
      <c r="P63" s="29"/>
      <c r="Q63" s="29"/>
      <c r="R63" s="29"/>
      <c r="S63" s="29"/>
      <c r="T63" s="29"/>
      <c r="U63" s="29"/>
      <c r="V63" s="29"/>
      <c r="W63" s="29"/>
    </row>
    <row r="64" spans="2:23" s="1" customFormat="1" ht="28.2" customHeight="1" thickBot="1" x14ac:dyDescent="0.3">
      <c r="B64" s="333" t="s">
        <v>186</v>
      </c>
      <c r="C64" s="333"/>
      <c r="D64" s="333"/>
      <c r="H64" s="149"/>
      <c r="I64" s="149"/>
      <c r="J64" s="149"/>
      <c r="K64" s="111"/>
      <c r="O64" s="29"/>
      <c r="P64" s="29"/>
      <c r="Q64" s="29"/>
      <c r="R64" s="29"/>
      <c r="S64" s="29"/>
      <c r="T64" s="29"/>
      <c r="U64" s="29"/>
      <c r="V64" s="29"/>
      <c r="W64" s="29"/>
    </row>
    <row r="65" spans="1:23" s="1" customFormat="1" thickBot="1" x14ac:dyDescent="0.3">
      <c r="B65" s="324"/>
      <c r="C65" s="325"/>
      <c r="D65" s="326"/>
      <c r="E65" s="161"/>
      <c r="F65" s="2" t="s">
        <v>187</v>
      </c>
      <c r="H65" s="149"/>
      <c r="I65" s="149"/>
      <c r="J65" s="149"/>
      <c r="K65" s="111"/>
      <c r="O65" s="29"/>
      <c r="P65" s="29"/>
      <c r="Q65" s="29"/>
      <c r="R65" s="29"/>
      <c r="S65" s="29"/>
      <c r="T65" s="29"/>
      <c r="U65" s="29"/>
      <c r="V65" s="29"/>
      <c r="W65" s="29"/>
    </row>
    <row r="66" spans="1:23" s="1" customFormat="1" ht="15" customHeight="1" x14ac:dyDescent="0.25">
      <c r="B66" s="327"/>
      <c r="C66" s="328"/>
      <c r="D66" s="329"/>
      <c r="E66" s="161"/>
      <c r="F66" s="324"/>
      <c r="G66" s="325"/>
      <c r="H66" s="325"/>
      <c r="I66" s="325"/>
      <c r="J66" s="325"/>
      <c r="K66" s="326"/>
      <c r="O66" s="29"/>
      <c r="P66" s="29"/>
      <c r="Q66" s="29"/>
      <c r="R66" s="29"/>
      <c r="S66" s="29"/>
      <c r="T66" s="29"/>
      <c r="U66" s="29"/>
      <c r="V66" s="29"/>
      <c r="W66" s="29"/>
    </row>
    <row r="67" spans="1:23" s="1" customFormat="1" ht="15" customHeight="1" x14ac:dyDescent="0.25">
      <c r="B67" s="327"/>
      <c r="C67" s="328"/>
      <c r="D67" s="329"/>
      <c r="E67" s="161"/>
      <c r="F67" s="327"/>
      <c r="G67" s="328"/>
      <c r="H67" s="328"/>
      <c r="I67" s="328"/>
      <c r="J67" s="328"/>
      <c r="K67" s="329"/>
      <c r="O67" s="29"/>
      <c r="P67" s="29"/>
      <c r="Q67" s="29"/>
      <c r="R67" s="29"/>
      <c r="S67" s="29"/>
      <c r="T67" s="29"/>
      <c r="U67" s="29"/>
      <c r="V67" s="29"/>
      <c r="W67" s="29"/>
    </row>
    <row r="68" spans="1:23" s="1" customFormat="1" ht="15" customHeight="1" x14ac:dyDescent="0.25">
      <c r="B68" s="327"/>
      <c r="C68" s="328"/>
      <c r="D68" s="329"/>
      <c r="E68" s="161"/>
      <c r="F68" s="327"/>
      <c r="G68" s="328"/>
      <c r="H68" s="328"/>
      <c r="I68" s="328"/>
      <c r="J68" s="328"/>
      <c r="K68" s="329"/>
      <c r="O68" s="29"/>
      <c r="P68" s="29"/>
      <c r="Q68" s="29"/>
      <c r="R68" s="29"/>
      <c r="S68" s="29"/>
      <c r="T68" s="29"/>
      <c r="U68" s="29"/>
      <c r="V68" s="29"/>
      <c r="W68" s="29"/>
    </row>
    <row r="69" spans="1:23" s="1" customFormat="1" ht="15" customHeight="1" x14ac:dyDescent="0.25">
      <c r="B69" s="327"/>
      <c r="C69" s="328"/>
      <c r="D69" s="329"/>
      <c r="E69" s="161"/>
      <c r="F69" s="327"/>
      <c r="G69" s="328"/>
      <c r="H69" s="328"/>
      <c r="I69" s="328"/>
      <c r="J69" s="328"/>
      <c r="K69" s="329"/>
      <c r="O69" s="29"/>
      <c r="P69" s="29"/>
      <c r="Q69" s="29"/>
      <c r="R69" s="29"/>
      <c r="S69" s="29"/>
      <c r="T69" s="29"/>
      <c r="U69" s="29"/>
      <c r="V69" s="29"/>
      <c r="W69" s="29"/>
    </row>
    <row r="70" spans="1:23" s="1" customFormat="1" ht="15" customHeight="1" x14ac:dyDescent="0.25">
      <c r="B70" s="327"/>
      <c r="C70" s="328"/>
      <c r="D70" s="329"/>
      <c r="E70" s="161"/>
      <c r="F70" s="327"/>
      <c r="G70" s="328"/>
      <c r="H70" s="328"/>
      <c r="I70" s="328"/>
      <c r="J70" s="328"/>
      <c r="K70" s="329"/>
      <c r="O70" s="29"/>
      <c r="P70" s="29"/>
      <c r="Q70" s="29"/>
      <c r="R70" s="29"/>
      <c r="S70" s="29"/>
      <c r="T70" s="29"/>
      <c r="U70" s="29"/>
      <c r="V70" s="29"/>
      <c r="W70" s="29"/>
    </row>
    <row r="71" spans="1:23" s="1" customFormat="1" ht="15.75" customHeight="1" thickBot="1" x14ac:dyDescent="0.3">
      <c r="B71" s="330"/>
      <c r="C71" s="331"/>
      <c r="D71" s="332"/>
      <c r="E71" s="161"/>
      <c r="F71" s="330"/>
      <c r="G71" s="331"/>
      <c r="H71" s="331"/>
      <c r="I71" s="331"/>
      <c r="J71" s="331"/>
      <c r="K71" s="332"/>
      <c r="O71" s="29"/>
      <c r="P71" s="29"/>
      <c r="Q71" s="29"/>
      <c r="R71" s="29"/>
      <c r="S71" s="29"/>
      <c r="T71" s="29"/>
      <c r="U71" s="29"/>
      <c r="V71" s="29"/>
      <c r="W71" s="29"/>
    </row>
    <row r="72" spans="1:23" s="1" customFormat="1" ht="37.200000000000003" customHeight="1" x14ac:dyDescent="0.25">
      <c r="A72" s="1" t="s">
        <v>131</v>
      </c>
      <c r="B72" s="37" t="s">
        <v>132</v>
      </c>
      <c r="C72" s="2"/>
      <c r="K72" s="91"/>
      <c r="O72" s="29"/>
      <c r="P72" s="29"/>
      <c r="Q72" s="29"/>
      <c r="R72" s="29"/>
      <c r="S72" s="29"/>
      <c r="T72" s="29"/>
      <c r="U72" s="29"/>
      <c r="V72" s="29"/>
      <c r="W72" s="29"/>
    </row>
    <row r="73" spans="1:23" s="1" customFormat="1" ht="13.8" x14ac:dyDescent="0.25">
      <c r="B73" s="3"/>
      <c r="C73" s="2"/>
      <c r="K73" s="99"/>
    </row>
    <row r="74" spans="1:23" s="1" customFormat="1" ht="15" customHeight="1" x14ac:dyDescent="0.25">
      <c r="A74" s="11"/>
      <c r="B74" s="78" t="s">
        <v>133</v>
      </c>
      <c r="C74" s="113" t="s">
        <v>188</v>
      </c>
      <c r="D74" s="307" t="s">
        <v>136</v>
      </c>
      <c r="E74" s="307"/>
      <c r="F74" s="307"/>
      <c r="G74" s="307"/>
      <c r="H74" s="307"/>
      <c r="I74" s="322" t="s">
        <v>189</v>
      </c>
      <c r="J74" s="322"/>
      <c r="K74" s="322"/>
    </row>
    <row r="75" spans="1:23" s="1" customFormat="1" ht="63.6" customHeight="1" x14ac:dyDescent="0.25">
      <c r="A75" s="336" t="s">
        <v>137</v>
      </c>
      <c r="B75" s="337"/>
      <c r="C75" s="135"/>
      <c r="D75" s="298"/>
      <c r="E75" s="299"/>
      <c r="F75" s="299"/>
      <c r="G75" s="299"/>
      <c r="H75" s="300"/>
      <c r="I75" s="118" t="s">
        <v>190</v>
      </c>
      <c r="J75" s="323" t="s">
        <v>191</v>
      </c>
      <c r="K75" s="323"/>
    </row>
    <row r="76" spans="1:23" s="1" customFormat="1" ht="27.6" x14ac:dyDescent="0.25">
      <c r="A76" s="60" t="s">
        <v>138</v>
      </c>
      <c r="B76" s="39" t="s">
        <v>192</v>
      </c>
      <c r="C76" s="135"/>
      <c r="D76" s="318"/>
      <c r="E76" s="318"/>
      <c r="F76" s="318"/>
      <c r="G76" s="318"/>
      <c r="H76" s="318"/>
      <c r="I76" s="115"/>
      <c r="J76" s="314"/>
      <c r="K76" s="314"/>
    </row>
    <row r="77" spans="1:23" s="1" customFormat="1" ht="27.6" x14ac:dyDescent="0.25">
      <c r="A77" s="60" t="s">
        <v>140</v>
      </c>
      <c r="B77" s="39" t="s">
        <v>193</v>
      </c>
      <c r="C77" s="135"/>
      <c r="D77" s="319"/>
      <c r="E77" s="320"/>
      <c r="F77" s="320"/>
      <c r="G77" s="320"/>
      <c r="H77" s="321"/>
      <c r="I77" s="115"/>
      <c r="J77" s="314"/>
      <c r="K77" s="314"/>
      <c r="L77" s="4"/>
      <c r="M77" s="4"/>
      <c r="N77" s="4"/>
      <c r="O77" s="4"/>
    </row>
    <row r="78" spans="1:23" s="1" customFormat="1" ht="27.6" x14ac:dyDescent="0.25">
      <c r="A78" s="60" t="s">
        <v>142</v>
      </c>
      <c r="B78" s="39" t="s">
        <v>143</v>
      </c>
      <c r="C78" s="135"/>
      <c r="D78" s="318"/>
      <c r="E78" s="318"/>
      <c r="F78" s="318"/>
      <c r="G78" s="318"/>
      <c r="H78" s="318"/>
      <c r="I78" s="115"/>
      <c r="J78" s="314"/>
      <c r="K78" s="314"/>
      <c r="L78" s="4"/>
      <c r="M78" s="4"/>
      <c r="N78" s="4"/>
      <c r="O78" s="4"/>
    </row>
    <row r="79" spans="1:23" s="1" customFormat="1" ht="27.6" x14ac:dyDescent="0.25">
      <c r="A79" s="60" t="s">
        <v>144</v>
      </c>
      <c r="B79" s="39" t="s">
        <v>145</v>
      </c>
      <c r="C79" s="135"/>
      <c r="D79" s="319"/>
      <c r="E79" s="320"/>
      <c r="F79" s="320"/>
      <c r="G79" s="320"/>
      <c r="H79" s="321"/>
      <c r="I79" s="115"/>
      <c r="J79" s="314"/>
      <c r="K79" s="314"/>
      <c r="L79" s="4"/>
      <c r="M79" s="4"/>
      <c r="N79" s="4"/>
      <c r="O79" s="4"/>
    </row>
    <row r="80" spans="1:23" s="1" customFormat="1" ht="27.6" x14ac:dyDescent="0.25">
      <c r="A80" s="60" t="s">
        <v>146</v>
      </c>
      <c r="B80" s="39" t="s">
        <v>197</v>
      </c>
      <c r="C80" s="135"/>
      <c r="D80" s="318"/>
      <c r="E80" s="318"/>
      <c r="F80" s="318"/>
      <c r="G80" s="318"/>
      <c r="H80" s="318"/>
      <c r="I80" s="115"/>
      <c r="J80" s="314"/>
      <c r="K80" s="314"/>
      <c r="L80" s="4"/>
      <c r="M80" s="4"/>
      <c r="N80" s="4"/>
      <c r="O80" s="4"/>
    </row>
    <row r="81" spans="1:15" s="1" customFormat="1" ht="27.6" x14ac:dyDescent="0.25">
      <c r="A81" s="60" t="s">
        <v>148</v>
      </c>
      <c r="B81" s="39" t="s">
        <v>199</v>
      </c>
      <c r="C81" s="135"/>
      <c r="D81" s="318"/>
      <c r="E81" s="318"/>
      <c r="F81" s="318"/>
      <c r="G81" s="318"/>
      <c r="H81" s="318"/>
      <c r="I81" s="115"/>
      <c r="J81" s="314"/>
      <c r="K81" s="314"/>
      <c r="L81" s="4"/>
      <c r="M81" s="4"/>
      <c r="N81" s="4"/>
      <c r="O81" s="4"/>
    </row>
    <row r="82" spans="1:15" s="1" customFormat="1" ht="33.75" customHeight="1" x14ac:dyDescent="0.25">
      <c r="A82" s="60">
        <v>4</v>
      </c>
      <c r="B82" s="103" t="s">
        <v>205</v>
      </c>
      <c r="C82" s="135"/>
      <c r="D82" s="318"/>
      <c r="E82" s="318"/>
      <c r="F82" s="318"/>
      <c r="G82" s="318"/>
      <c r="H82" s="318"/>
      <c r="I82" s="115"/>
      <c r="J82" s="314"/>
      <c r="K82" s="314"/>
      <c r="L82" s="4"/>
      <c r="M82" s="4"/>
      <c r="N82" s="4"/>
      <c r="O82" s="4"/>
    </row>
    <row r="83" spans="1:15" s="1" customFormat="1" ht="13.8" x14ac:dyDescent="0.25">
      <c r="A83" s="60">
        <v>5</v>
      </c>
      <c r="B83" s="112" t="s">
        <v>213</v>
      </c>
      <c r="C83" s="135"/>
      <c r="D83" s="318"/>
      <c r="E83" s="318"/>
      <c r="F83" s="318"/>
      <c r="G83" s="318"/>
      <c r="H83" s="318"/>
      <c r="I83" s="115"/>
      <c r="J83" s="314"/>
      <c r="K83" s="314"/>
      <c r="L83" s="4"/>
      <c r="M83" s="4"/>
      <c r="N83" s="4"/>
      <c r="O83" s="4"/>
    </row>
    <row r="84" spans="1:15" s="1" customFormat="1" ht="13.8" x14ac:dyDescent="0.25">
      <c r="A84" s="44">
        <v>6</v>
      </c>
      <c r="B84" s="116"/>
      <c r="C84" s="135"/>
      <c r="D84" s="318"/>
      <c r="E84" s="318"/>
      <c r="F84" s="318"/>
      <c r="G84" s="318"/>
      <c r="H84" s="318"/>
      <c r="I84" s="115"/>
      <c r="J84" s="314"/>
      <c r="K84" s="314"/>
    </row>
    <row r="85" spans="1:15" s="1" customFormat="1" ht="13.8" x14ac:dyDescent="0.25">
      <c r="A85" s="44">
        <v>7</v>
      </c>
      <c r="B85" s="116"/>
      <c r="C85" s="135"/>
      <c r="D85" s="318"/>
      <c r="E85" s="318"/>
      <c r="F85" s="318"/>
      <c r="G85" s="318"/>
      <c r="H85" s="318"/>
      <c r="I85" s="115"/>
      <c r="J85" s="314"/>
      <c r="K85" s="314"/>
    </row>
    <row r="86" spans="1:15" s="1" customFormat="1" ht="13.8" x14ac:dyDescent="0.25">
      <c r="A86" s="44">
        <v>8</v>
      </c>
      <c r="B86" s="116"/>
      <c r="C86" s="135"/>
      <c r="D86" s="318"/>
      <c r="E86" s="318"/>
      <c r="F86" s="318"/>
      <c r="G86" s="318"/>
      <c r="H86" s="318"/>
      <c r="I86" s="115"/>
      <c r="J86" s="314"/>
      <c r="K86" s="314"/>
    </row>
    <row r="87" spans="1:15" s="1" customFormat="1" ht="13.8" x14ac:dyDescent="0.25">
      <c r="A87" s="44">
        <v>9</v>
      </c>
      <c r="B87" s="116"/>
      <c r="C87" s="135"/>
      <c r="D87" s="319"/>
      <c r="E87" s="320"/>
      <c r="F87" s="320"/>
      <c r="G87" s="320"/>
      <c r="H87" s="321"/>
      <c r="I87" s="115"/>
      <c r="J87" s="314"/>
      <c r="K87" s="314"/>
    </row>
    <row r="88" spans="1:15" s="1" customFormat="1" ht="13.8" x14ac:dyDescent="0.25">
      <c r="A88" s="44">
        <v>10</v>
      </c>
      <c r="B88" s="116"/>
      <c r="C88" s="135"/>
      <c r="D88" s="318"/>
      <c r="E88" s="318"/>
      <c r="F88" s="318"/>
      <c r="G88" s="318"/>
      <c r="H88" s="318"/>
      <c r="I88" s="115"/>
      <c r="J88" s="314"/>
      <c r="K88" s="314"/>
    </row>
    <row r="89" spans="1:15" s="1" customFormat="1" ht="13.8" x14ac:dyDescent="0.25">
      <c r="A89" s="44">
        <v>11</v>
      </c>
      <c r="B89" s="116"/>
      <c r="C89" s="135"/>
      <c r="D89" s="318"/>
      <c r="E89" s="318"/>
      <c r="F89" s="318"/>
      <c r="G89" s="318"/>
      <c r="H89" s="318"/>
      <c r="I89" s="115"/>
      <c r="J89" s="314"/>
      <c r="K89" s="314"/>
    </row>
    <row r="90" spans="1:15" s="1" customFormat="1" ht="13.8" x14ac:dyDescent="0.25">
      <c r="A90" s="1" t="s">
        <v>153</v>
      </c>
      <c r="B90" s="9" t="s">
        <v>154</v>
      </c>
      <c r="C90" s="136">
        <f>SUM(C75:C89)</f>
        <v>0</v>
      </c>
      <c r="D90" s="25"/>
      <c r="E90" s="25"/>
      <c r="F90" s="25"/>
      <c r="G90" s="25"/>
    </row>
    <row r="91" spans="1:15" s="1" customFormat="1" ht="27.6" x14ac:dyDescent="0.25">
      <c r="B91" s="62" t="s">
        <v>155</v>
      </c>
      <c r="C91" s="137">
        <f>K60</f>
        <v>0</v>
      </c>
      <c r="D91" s="25"/>
      <c r="E91" s="25"/>
      <c r="F91" s="25"/>
      <c r="G91" s="25"/>
    </row>
    <row r="92" spans="1:15" s="1" customFormat="1" ht="13.8" x14ac:dyDescent="0.25">
      <c r="B92" s="62" t="s">
        <v>156</v>
      </c>
      <c r="C92" s="138">
        <f>C90-C91</f>
        <v>0</v>
      </c>
    </row>
    <row r="93" spans="1:15" s="1" customFormat="1" ht="28.2" thickBot="1" x14ac:dyDescent="0.3">
      <c r="B93" s="62" t="s">
        <v>157</v>
      </c>
      <c r="C93" s="51">
        <f>IF(ISERROR(C92/J53),0,C92/J53)</f>
        <v>0</v>
      </c>
      <c r="D93" s="80" t="str">
        <f>IF(AND(C93&lt;0.01,C93&gt;-0.01),"","Unresolved differences of greater than + or - 1% should be explained")</f>
        <v/>
      </c>
      <c r="F93" s="4"/>
    </row>
    <row r="94" spans="1:15" s="1" customFormat="1" thickTop="1" x14ac:dyDescent="0.25">
      <c r="B94" s="2"/>
      <c r="C94" s="46"/>
      <c r="D94" s="49"/>
      <c r="G94" s="4"/>
    </row>
    <row r="95" spans="1:15" s="1" customFormat="1" ht="13.8" x14ac:dyDescent="0.25">
      <c r="B95" s="2"/>
      <c r="C95" s="46"/>
      <c r="D95" s="32"/>
    </row>
    <row r="96" spans="1:15" s="1" customFormat="1" ht="13.8" x14ac:dyDescent="0.25"/>
    <row r="97" s="1" customFormat="1" ht="13.8" x14ac:dyDescent="0.25"/>
  </sheetData>
  <sheetProtection algorithmName="SHA-512" hashValue="CkPKBAaQCtojb0gjDC283UAqmCNoiizHc0DYNK/VgM+xXen/eWydvWN3cnKmItl29M8t+5zmp9sdQ3hWD6VKrw==" saltValue="EaSIKkKjVe1pttDMff/7Tg==" spinCount="100000" sheet="1" objects="1" scenarios="1"/>
  <mergeCells count="45">
    <mergeCell ref="G59:K59"/>
    <mergeCell ref="B13:C13"/>
    <mergeCell ref="E13:F13"/>
    <mergeCell ref="B19:H19"/>
    <mergeCell ref="B25:E25"/>
    <mergeCell ref="G58:K58"/>
    <mergeCell ref="D76:H76"/>
    <mergeCell ref="J76:K76"/>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allowBlank="1" showInputMessage="1" showErrorMessage="1" sqref="G29 I76:I89 G27 G25" xr:uid="{B61FD3FA-6CFA-408D-B230-280EF696CF81}">
      <formula1>"Yes,No"</formula1>
    </dataValidation>
    <dataValidation type="list" sqref="C23" xr:uid="{0908E532-BB4B-4FC9-8BDC-462CD648FFFB}">
      <formula1>"1st Estimate, 2nd Estimate, Actual"</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C8758-0337-48AC-B206-3CED860EC913}">
  <sheetPr codeName="Sheet11"/>
  <dimension ref="A12:W97"/>
  <sheetViews>
    <sheetView showGridLines="0" view="pageBreakPreview" zoomScale="60" zoomScaleNormal="70" workbookViewId="0">
      <selection activeCell="I15" sqref="I15"/>
    </sheetView>
  </sheetViews>
  <sheetFormatPr defaultColWidth="9" defaultRowHeight="14.4" x14ac:dyDescent="0.3"/>
  <cols>
    <col min="1" max="1" width="10.33203125" customWidth="1"/>
    <col min="2" max="2" width="53.88671875" customWidth="1"/>
    <col min="3" max="3" width="28" customWidth="1"/>
    <col min="4" max="4" width="23" customWidth="1"/>
    <col min="5" max="5" width="19" customWidth="1"/>
    <col min="6" max="6" width="24.3320312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1" customFormat="1" ht="13.8" x14ac:dyDescent="0.25">
      <c r="A12" s="4" t="s">
        <v>74</v>
      </c>
      <c r="B12" s="22" t="s">
        <v>75</v>
      </c>
      <c r="C12" s="21"/>
      <c r="D12" s="21"/>
      <c r="E12" s="21"/>
      <c r="F12" s="21"/>
      <c r="I12" s="4"/>
      <c r="J12" s="4"/>
      <c r="K12" s="4"/>
      <c r="L12" s="4"/>
      <c r="M12" s="4"/>
      <c r="N12" s="4"/>
      <c r="O12" s="4"/>
      <c r="P12" s="4"/>
      <c r="Q12" s="4"/>
      <c r="R12" s="4"/>
      <c r="S12" s="4"/>
    </row>
    <row r="13" spans="1:19" s="1" customFormat="1" ht="13.8" x14ac:dyDescent="0.25">
      <c r="A13" s="4"/>
      <c r="B13" s="302" t="s">
        <v>4</v>
      </c>
      <c r="C13" s="302"/>
      <c r="D13" s="121">
        <v>2021</v>
      </c>
      <c r="E13" s="303"/>
      <c r="F13" s="304"/>
      <c r="G13" s="4"/>
      <c r="H13" s="4"/>
      <c r="I13" s="4"/>
      <c r="J13" s="4"/>
      <c r="K13" s="4"/>
      <c r="L13" s="4"/>
      <c r="M13" s="4"/>
      <c r="N13" s="4"/>
      <c r="O13" s="4"/>
      <c r="P13" s="4"/>
      <c r="Q13" s="4"/>
    </row>
    <row r="14" spans="1:19" s="1" customFormat="1" thickBot="1" x14ac:dyDescent="0.3">
      <c r="A14" s="4"/>
      <c r="B14" s="5" t="s">
        <v>76</v>
      </c>
      <c r="C14" s="6" t="s">
        <v>77</v>
      </c>
      <c r="D14" s="124">
        <f>VLOOKUP('1. Information Sheet'!$C$17,RRR_2021!$B$4:$U$68,19,FALSE)</f>
        <v>935004221</v>
      </c>
      <c r="E14" s="6" t="s">
        <v>78</v>
      </c>
      <c r="F14" s="256">
        <v>1</v>
      </c>
      <c r="G14" s="4"/>
      <c r="H14" s="4"/>
      <c r="I14" s="4"/>
      <c r="J14" s="4"/>
      <c r="K14" s="4"/>
      <c r="L14" s="4"/>
      <c r="M14" s="4"/>
      <c r="N14" s="4"/>
      <c r="O14" s="4"/>
      <c r="P14" s="4"/>
      <c r="Q14" s="4"/>
    </row>
    <row r="15" spans="1:19" s="1" customFormat="1" thickBot="1" x14ac:dyDescent="0.3">
      <c r="B15" s="5" t="s">
        <v>79</v>
      </c>
      <c r="C15" s="6" t="s">
        <v>80</v>
      </c>
      <c r="D15" s="124">
        <f>VLOOKUP('1. Information Sheet'!$C$17,RRR_2021!$B$4:$U$68,7,FALSE)</f>
        <v>458537750</v>
      </c>
      <c r="E15" s="6" t="s">
        <v>78</v>
      </c>
      <c r="F15" s="257">
        <f>IFERROR(D15/$D$14,0)</f>
        <v>0.49041249194531711</v>
      </c>
    </row>
    <row r="16" spans="1:19" s="1" customFormat="1" thickBot="1" x14ac:dyDescent="0.3">
      <c r="B16" s="5" t="s">
        <v>81</v>
      </c>
      <c r="C16" s="6" t="s">
        <v>82</v>
      </c>
      <c r="D16" s="124">
        <f>VLOOKUP('1. Information Sheet'!$C$17,RRR_2021!$B$4:$U$68,20,FALSE)</f>
        <v>476466471</v>
      </c>
      <c r="E16" s="6" t="s">
        <v>78</v>
      </c>
      <c r="F16" s="257">
        <f>IFERROR(D16/$D$14,0)</f>
        <v>0.50958750805468289</v>
      </c>
    </row>
    <row r="17" spans="1:8" s="1" customFormat="1" thickBot="1" x14ac:dyDescent="0.3">
      <c r="B17" s="5" t="s">
        <v>83</v>
      </c>
      <c r="C17" s="6" t="s">
        <v>84</v>
      </c>
      <c r="D17" s="124">
        <f>VLOOKUP('1. Information Sheet'!$C$17,RRR_2021!$B$4:$U$68,13,FALSE)</f>
        <v>277190567</v>
      </c>
      <c r="E17" s="6" t="s">
        <v>78</v>
      </c>
      <c r="F17" s="257">
        <f>IFERROR(D17/$D$14,0)</f>
        <v>0.29645916111858922</v>
      </c>
    </row>
    <row r="18" spans="1:8" s="1" customFormat="1" thickBot="1" x14ac:dyDescent="0.3">
      <c r="B18" s="5" t="s">
        <v>85</v>
      </c>
      <c r="C18" s="6" t="s">
        <v>86</v>
      </c>
      <c r="D18" s="124">
        <f>D16-D17</f>
        <v>199275904</v>
      </c>
      <c r="E18" s="6" t="s">
        <v>78</v>
      </c>
      <c r="F18" s="257">
        <f>IFERROR(D18/$D$14,0)</f>
        <v>0.21312834693609367</v>
      </c>
    </row>
    <row r="19" spans="1:8" s="1" customFormat="1" ht="34.5" customHeight="1" x14ac:dyDescent="0.25">
      <c r="B19" s="305" t="s">
        <v>87</v>
      </c>
      <c r="C19" s="305"/>
      <c r="D19" s="305"/>
      <c r="E19" s="305"/>
      <c r="F19" s="305"/>
      <c r="G19" s="306"/>
      <c r="H19" s="306"/>
    </row>
    <row r="20" spans="1:8" s="1" customFormat="1" ht="13.8" x14ac:dyDescent="0.25">
      <c r="D20" s="96"/>
    </row>
    <row r="21" spans="1:8" s="1" customFormat="1" ht="13.8" x14ac:dyDescent="0.25">
      <c r="A21" s="1" t="s">
        <v>88</v>
      </c>
      <c r="B21" s="3" t="s">
        <v>89</v>
      </c>
    </row>
    <row r="22" spans="1:8" s="1" customFormat="1" ht="13.8" x14ac:dyDescent="0.25">
      <c r="B22" s="3"/>
    </row>
    <row r="23" spans="1:8" s="1" customFormat="1" ht="13.8" x14ac:dyDescent="0.25">
      <c r="B23" s="2" t="s">
        <v>90</v>
      </c>
      <c r="C23" s="115" t="s">
        <v>206</v>
      </c>
      <c r="D23" s="1" t="s">
        <v>207</v>
      </c>
      <c r="E23" s="4"/>
    </row>
    <row r="24" spans="1:8" s="1" customFormat="1" ht="13.8" x14ac:dyDescent="0.25"/>
    <row r="25" spans="1:8" s="1" customFormat="1" ht="59.4" customHeight="1" x14ac:dyDescent="0.25">
      <c r="B25" s="338" t="s">
        <v>208</v>
      </c>
      <c r="C25" s="338"/>
      <c r="D25" s="338"/>
      <c r="E25" s="338"/>
      <c r="G25" s="115" t="s">
        <v>214</v>
      </c>
    </row>
    <row r="26" spans="1:8" s="1" customFormat="1" ht="13.8" x14ac:dyDescent="0.25"/>
    <row r="27" spans="1:8" s="1" customFormat="1" x14ac:dyDescent="0.3">
      <c r="B27" s="2" t="s">
        <v>166</v>
      </c>
      <c r="C27"/>
      <c r="D27"/>
      <c r="E27"/>
      <c r="G27" s="115" t="s">
        <v>214</v>
      </c>
    </row>
    <row r="28" spans="1:8" s="1" customFormat="1" ht="15" customHeight="1" x14ac:dyDescent="0.25">
      <c r="E28" s="4"/>
      <c r="H28" s="9"/>
    </row>
    <row r="29" spans="1:8" s="1" customFormat="1" ht="15" customHeight="1" x14ac:dyDescent="0.3">
      <c r="B29" s="2" t="s">
        <v>167</v>
      </c>
      <c r="C29"/>
      <c r="D29"/>
      <c r="E29"/>
      <c r="F29"/>
      <c r="G29" s="115" t="s">
        <v>214</v>
      </c>
      <c r="H29" s="9"/>
    </row>
    <row r="30" spans="1:8" s="1" customFormat="1" ht="15" hidden="1" customHeight="1" x14ac:dyDescent="0.25">
      <c r="B30" s="9"/>
      <c r="C30" s="9"/>
      <c r="D30" s="9"/>
      <c r="E30" s="9"/>
      <c r="F30" s="9"/>
      <c r="G30" s="9"/>
      <c r="H30" s="9"/>
    </row>
    <row r="31" spans="1:8" s="1" customFormat="1" ht="15" hidden="1" customHeight="1" x14ac:dyDescent="0.25">
      <c r="B31" s="9"/>
      <c r="C31" s="9"/>
      <c r="D31" s="9"/>
      <c r="E31" s="9"/>
      <c r="F31" s="9"/>
      <c r="G31" s="9"/>
      <c r="H31" s="9"/>
    </row>
    <row r="32" spans="1:8" s="1" customFormat="1" ht="14.25" hidden="1" customHeight="1" x14ac:dyDescent="0.25">
      <c r="B32" s="9"/>
      <c r="C32" s="9"/>
      <c r="D32" s="9"/>
      <c r="E32" s="9"/>
      <c r="F32" s="9"/>
      <c r="G32" s="9"/>
      <c r="H32" s="9"/>
    </row>
    <row r="33" spans="1:23" s="1" customFormat="1" ht="14.25" hidden="1" customHeight="1" x14ac:dyDescent="0.25">
      <c r="B33" s="9"/>
      <c r="C33" s="9"/>
      <c r="D33" s="9"/>
      <c r="E33" s="9"/>
      <c r="F33" s="9"/>
      <c r="G33" s="9"/>
      <c r="H33" s="9"/>
    </row>
    <row r="34" spans="1:23" s="1" customFormat="1" ht="14.25" hidden="1" customHeight="1" x14ac:dyDescent="0.25">
      <c r="B34" s="9"/>
      <c r="C34" s="9"/>
      <c r="D34" s="9"/>
      <c r="E34" s="9"/>
      <c r="F34" s="9"/>
      <c r="G34" s="9"/>
      <c r="H34" s="9"/>
    </row>
    <row r="35" spans="1:23" s="1" customFormat="1" ht="14.25" hidden="1" customHeight="1" x14ac:dyDescent="0.25">
      <c r="B35" s="9"/>
      <c r="C35" s="9"/>
      <c r="D35" s="9"/>
      <c r="E35" s="9"/>
      <c r="F35" s="9"/>
      <c r="G35" s="9"/>
      <c r="H35" s="9"/>
    </row>
    <row r="36" spans="1:23" s="1" customFormat="1" ht="13.8" x14ac:dyDescent="0.25"/>
    <row r="37" spans="1:23" s="1" customFormat="1" ht="13.8" x14ac:dyDescent="0.25">
      <c r="A37" s="1" t="s">
        <v>92</v>
      </c>
      <c r="B37" s="37" t="s">
        <v>93</v>
      </c>
      <c r="C37" s="3"/>
    </row>
    <row r="38" spans="1:23" s="1" customFormat="1" ht="15" thickBot="1" x14ac:dyDescent="0.35">
      <c r="B38" s="2" t="s">
        <v>4</v>
      </c>
      <c r="C38" s="122">
        <v>2021</v>
      </c>
      <c r="D38" s="4"/>
      <c r="E38" s="4"/>
      <c r="F38" s="68"/>
      <c r="G38" s="2"/>
      <c r="H38" s="2"/>
      <c r="I38" s="2"/>
      <c r="J38" s="2"/>
      <c r="K38" s="2"/>
      <c r="N38"/>
      <c r="O38"/>
      <c r="P38"/>
      <c r="Q38"/>
      <c r="R38"/>
      <c r="S38"/>
      <c r="T38"/>
      <c r="U38"/>
      <c r="V38"/>
      <c r="W38"/>
    </row>
    <row r="39" spans="1:23" s="9" customFormat="1" ht="80.25" customHeight="1" thickBot="1" x14ac:dyDescent="0.35">
      <c r="B39" s="40" t="s">
        <v>95</v>
      </c>
      <c r="C39" s="52" t="s">
        <v>96</v>
      </c>
      <c r="D39" s="69" t="s">
        <v>97</v>
      </c>
      <c r="E39" s="70" t="s">
        <v>98</v>
      </c>
      <c r="F39" s="57" t="s">
        <v>99</v>
      </c>
      <c r="G39" s="26" t="s">
        <v>209</v>
      </c>
      <c r="H39" s="26" t="s">
        <v>101</v>
      </c>
      <c r="I39" s="26" t="s">
        <v>210</v>
      </c>
      <c r="J39" s="26" t="s">
        <v>103</v>
      </c>
      <c r="K39" s="58" t="s">
        <v>168</v>
      </c>
      <c r="N39"/>
      <c r="O39"/>
      <c r="P39"/>
      <c r="Q39"/>
      <c r="R39"/>
      <c r="S39"/>
      <c r="T39"/>
      <c r="U39"/>
      <c r="V39"/>
      <c r="W39"/>
    </row>
    <row r="40" spans="1:23" s="9" customFormat="1" x14ac:dyDescent="0.3">
      <c r="B40" s="12"/>
      <c r="C40" s="53" t="s">
        <v>105</v>
      </c>
      <c r="D40" s="53" t="s">
        <v>106</v>
      </c>
      <c r="E40" s="54" t="s">
        <v>107</v>
      </c>
      <c r="F40" s="54" t="s">
        <v>108</v>
      </c>
      <c r="G40" s="54" t="s">
        <v>109</v>
      </c>
      <c r="H40" s="55" t="s">
        <v>110</v>
      </c>
      <c r="I40" s="54" t="s">
        <v>111</v>
      </c>
      <c r="J40" s="55" t="s">
        <v>112</v>
      </c>
      <c r="K40" s="56" t="s">
        <v>169</v>
      </c>
      <c r="N40"/>
      <c r="O40"/>
      <c r="P40"/>
      <c r="Q40"/>
      <c r="R40"/>
      <c r="S40"/>
      <c r="T40"/>
      <c r="U40"/>
      <c r="V40"/>
      <c r="W40"/>
    </row>
    <row r="41" spans="1:23" s="1" customFormat="1" x14ac:dyDescent="0.3">
      <c r="B41" s="13" t="s">
        <v>118</v>
      </c>
      <c r="C41" s="125">
        <v>17805418</v>
      </c>
      <c r="D41" s="125">
        <v>19666176</v>
      </c>
      <c r="E41" s="126">
        <f>-438+4138+2045262+16721092+257+1311616</f>
        <v>20081927</v>
      </c>
      <c r="F41" s="127">
        <f>C41-D41+E41</f>
        <v>18221169</v>
      </c>
      <c r="G41" s="20">
        <f>IF($C$23="1st Estimate",'GA Rates'!H4,IF($C$23="2nd Estimate",'GA Rates'!I4,IF($C$23="Actual",'GA Rates'!J4,0)))</f>
        <v>9.0920000000000001E-2</v>
      </c>
      <c r="H41" s="130">
        <f>F41*G41</f>
        <v>1656668.68548</v>
      </c>
      <c r="I41" s="20">
        <f>'GA Rates'!J4</f>
        <v>8.7980000000000003E-2</v>
      </c>
      <c r="J41" s="132">
        <f>F41*I41</f>
        <v>1603098.4486200002</v>
      </c>
      <c r="K41" s="133">
        <f>J41-H41</f>
        <v>-53570.23685999983</v>
      </c>
      <c r="N41"/>
      <c r="O41"/>
      <c r="P41"/>
      <c r="Q41"/>
      <c r="R41"/>
      <c r="S41"/>
      <c r="T41"/>
      <c r="U41"/>
      <c r="V41"/>
      <c r="W41"/>
    </row>
    <row r="42" spans="1:23" s="1" customFormat="1" x14ac:dyDescent="0.3">
      <c r="B42" s="13" t="s">
        <v>119</v>
      </c>
      <c r="C42" s="125">
        <v>18890269</v>
      </c>
      <c r="D42" s="125">
        <f>+E41</f>
        <v>20081927</v>
      </c>
      <c r="E42" s="126">
        <f>257+1311616+16085388+950217+11303-199-10960-24492-2109</f>
        <v>18321021</v>
      </c>
      <c r="F42" s="127">
        <f t="shared" ref="F42:F52" si="0">C42-D42+E42</f>
        <v>17129363</v>
      </c>
      <c r="G42" s="20">
        <f>IF($C$23="1st Estimate",'GA Rates'!H5,IF($C$23="2nd Estimate",'GA Rates'!I5,IF($C$23="Actual",'GA Rates'!J5,0)))</f>
        <v>0.10485</v>
      </c>
      <c r="H42" s="130">
        <f t="shared" ref="H42:H52" si="1">F42*G42</f>
        <v>1796013.71055</v>
      </c>
      <c r="I42" s="20">
        <f>'GA Rates'!J5</f>
        <v>5.7509999999999999E-2</v>
      </c>
      <c r="J42" s="132">
        <f t="shared" ref="J42:J52" si="2">F42*I42</f>
        <v>985109.66613000003</v>
      </c>
      <c r="K42" s="133">
        <f t="shared" ref="K42:K52" si="3">J42-H42</f>
        <v>-810904.04441999993</v>
      </c>
      <c r="N42"/>
      <c r="O42"/>
      <c r="P42"/>
      <c r="Q42"/>
      <c r="R42"/>
      <c r="S42"/>
      <c r="T42"/>
      <c r="U42"/>
      <c r="V42"/>
      <c r="W42"/>
    </row>
    <row r="43" spans="1:23" s="1" customFormat="1" x14ac:dyDescent="0.3">
      <c r="B43" s="13" t="s">
        <v>120</v>
      </c>
      <c r="C43" s="125">
        <v>17639202</v>
      </c>
      <c r="D43" s="125">
        <f t="shared" ref="D43:D52" si="4">+E42</f>
        <v>18321021</v>
      </c>
      <c r="E43" s="126">
        <f>950217+11303-199+16452334-10960-24492-2109-13724-15621+1170884</f>
        <v>18517633</v>
      </c>
      <c r="F43" s="127">
        <f t="shared" si="0"/>
        <v>17835814</v>
      </c>
      <c r="G43" s="20">
        <f>IF($C$23="1st Estimate",'GA Rates'!H6,IF($C$23="2nd Estimate",'GA Rates'!I6,IF($C$23="Actual",'GA Rates'!J6,0)))</f>
        <v>8.4199999999999997E-2</v>
      </c>
      <c r="H43" s="130">
        <f t="shared" si="1"/>
        <v>1501775.5388</v>
      </c>
      <c r="I43" s="20">
        <f>'GA Rates'!J6</f>
        <v>9.6679999999999988E-2</v>
      </c>
      <c r="J43" s="132">
        <f t="shared" si="2"/>
        <v>1724366.4975199997</v>
      </c>
      <c r="K43" s="133">
        <f t="shared" si="3"/>
        <v>222590.95871999976</v>
      </c>
      <c r="N43"/>
      <c r="O43"/>
      <c r="P43"/>
      <c r="Q43"/>
      <c r="R43"/>
      <c r="S43"/>
      <c r="T43"/>
      <c r="U43"/>
      <c r="V43"/>
      <c r="W43"/>
    </row>
    <row r="44" spans="1:23" s="1" customFormat="1" x14ac:dyDescent="0.3">
      <c r="B44" s="13" t="s">
        <v>121</v>
      </c>
      <c r="C44" s="125">
        <v>17634015</v>
      </c>
      <c r="D44" s="125">
        <f t="shared" si="4"/>
        <v>18517633</v>
      </c>
      <c r="E44" s="126">
        <f>14992891-13724-15621+1170884+813939+553+17483</f>
        <v>16966405</v>
      </c>
      <c r="F44" s="127">
        <f t="shared" si="0"/>
        <v>16082787</v>
      </c>
      <c r="G44" s="20">
        <f>IF($C$23="1st Estimate",'GA Rates'!H7,IF($C$23="2nd Estimate",'GA Rates'!I7,IF($C$23="Actual",'GA Rates'!J7,0)))</f>
        <v>6.9690000000000002E-2</v>
      </c>
      <c r="H44" s="130">
        <f t="shared" si="1"/>
        <v>1120809.42603</v>
      </c>
      <c r="I44" s="20">
        <f>'GA Rates'!J7</f>
        <v>0.11589000000000001</v>
      </c>
      <c r="J44" s="132">
        <f t="shared" si="2"/>
        <v>1863834.1854300001</v>
      </c>
      <c r="K44" s="133">
        <f t="shared" si="3"/>
        <v>743024.7594000001</v>
      </c>
      <c r="N44"/>
      <c r="O44"/>
      <c r="P44"/>
      <c r="Q44"/>
      <c r="R44"/>
      <c r="S44"/>
      <c r="T44"/>
      <c r="U44"/>
      <c r="V44"/>
      <c r="W44"/>
    </row>
    <row r="45" spans="1:23" s="1" customFormat="1" x14ac:dyDescent="0.3">
      <c r="B45" s="13" t="s">
        <v>122</v>
      </c>
      <c r="C45" s="125">
        <v>16323088</v>
      </c>
      <c r="D45" s="125">
        <f t="shared" si="4"/>
        <v>16966405</v>
      </c>
      <c r="E45" s="126">
        <f>813939+553+17483+14872025+217+1135703</f>
        <v>16839920</v>
      </c>
      <c r="F45" s="127">
        <f t="shared" si="0"/>
        <v>16196603</v>
      </c>
      <c r="G45" s="20">
        <f>IF($C$23="1st Estimate",'GA Rates'!H8,IF($C$23="2nd Estimate",'GA Rates'!I8,IF($C$23="Actual",'GA Rates'!J8,0)))</f>
        <v>0.10531</v>
      </c>
      <c r="H45" s="130">
        <f t="shared" si="1"/>
        <v>1705664.26193</v>
      </c>
      <c r="I45" s="20">
        <f>'GA Rates'!J8</f>
        <v>0.10675000000000001</v>
      </c>
      <c r="J45" s="132">
        <f t="shared" si="2"/>
        <v>1728987.3702500002</v>
      </c>
      <c r="K45" s="133">
        <f t="shared" si="3"/>
        <v>23323.108320000116</v>
      </c>
      <c r="N45"/>
      <c r="O45"/>
      <c r="P45"/>
      <c r="Q45"/>
      <c r="R45"/>
      <c r="S45"/>
      <c r="T45"/>
      <c r="U45"/>
      <c r="V45"/>
      <c r="W45"/>
    </row>
    <row r="46" spans="1:23" s="1" customFormat="1" x14ac:dyDescent="0.3">
      <c r="B46" s="13" t="s">
        <v>123</v>
      </c>
      <c r="C46" s="125">
        <v>15872058</v>
      </c>
      <c r="D46" s="125">
        <f t="shared" si="4"/>
        <v>16839920</v>
      </c>
      <c r="E46" s="126">
        <f>217+16078628+1135703+1238421+4872</f>
        <v>18457841</v>
      </c>
      <c r="F46" s="127">
        <f t="shared" si="0"/>
        <v>17489979</v>
      </c>
      <c r="G46" s="20">
        <f>IF($C$23="1st Estimate",'GA Rates'!H9,IF($C$23="2nd Estimate",'GA Rates'!I9,IF($C$23="Actual",'GA Rates'!J9,0)))</f>
        <v>0.11352000000000001</v>
      </c>
      <c r="H46" s="130">
        <f t="shared" si="1"/>
        <v>1985462.4160800001</v>
      </c>
      <c r="I46" s="20">
        <f>'GA Rates'!J9</f>
        <v>9.2159999999999992E-2</v>
      </c>
      <c r="J46" s="132">
        <f t="shared" si="2"/>
        <v>1611876.4646399999</v>
      </c>
      <c r="K46" s="133">
        <f t="shared" si="3"/>
        <v>-373585.95144000021</v>
      </c>
      <c r="N46"/>
      <c r="O46"/>
      <c r="P46"/>
      <c r="Q46"/>
      <c r="R46"/>
      <c r="S46"/>
      <c r="T46"/>
      <c r="U46"/>
      <c r="V46"/>
      <c r="W46"/>
    </row>
    <row r="47" spans="1:23" s="1" customFormat="1" x14ac:dyDescent="0.3">
      <c r="B47" s="13" t="s">
        <v>124</v>
      </c>
      <c r="C47" s="126">
        <v>17444020</v>
      </c>
      <c r="D47" s="125">
        <f t="shared" si="4"/>
        <v>18457841</v>
      </c>
      <c r="E47" s="126">
        <f>17035362+1238421+4872-1321946-154736-147988-132799-118246-123362-117202+1086200</f>
        <v>17248576</v>
      </c>
      <c r="F47" s="127">
        <f t="shared" si="0"/>
        <v>16234755</v>
      </c>
      <c r="G47" s="20">
        <f>IF($C$23="1st Estimate",'GA Rates'!H10,IF($C$23="2nd Estimate",'GA Rates'!I10,IF($C$23="Actual",'GA Rates'!J10,0)))</f>
        <v>7.6120000000000007E-2</v>
      </c>
      <c r="H47" s="130">
        <f t="shared" si="1"/>
        <v>1235789.5506000002</v>
      </c>
      <c r="I47" s="20">
        <f>'GA Rates'!J10</f>
        <v>7.918E-2</v>
      </c>
      <c r="J47" s="132">
        <f t="shared" si="2"/>
        <v>1285467.9009</v>
      </c>
      <c r="K47" s="133">
        <f t="shared" si="3"/>
        <v>49678.350299999816</v>
      </c>
      <c r="N47"/>
      <c r="O47"/>
      <c r="P47"/>
      <c r="Q47"/>
      <c r="R47"/>
      <c r="S47"/>
      <c r="T47"/>
      <c r="U47"/>
      <c r="V47"/>
      <c r="W47"/>
    </row>
    <row r="48" spans="1:23" s="1" customFormat="1" x14ac:dyDescent="0.3">
      <c r="B48" s="13" t="s">
        <v>125</v>
      </c>
      <c r="C48" s="126">
        <v>18470895</v>
      </c>
      <c r="D48" s="125">
        <f t="shared" si="4"/>
        <v>17248576</v>
      </c>
      <c r="E48" s="126">
        <f>17466615+1086200-117202-123362-118246-132799-147988-154736-1321946-189972-43983-46648-44600-34788-30457-32449-33472-1169992</f>
        <v>14810175</v>
      </c>
      <c r="F48" s="127">
        <f t="shared" si="0"/>
        <v>16032494</v>
      </c>
      <c r="G48" s="20">
        <f>IF($C$23="1st Estimate",'GA Rates'!H11,IF($C$23="2nd Estimate",'GA Rates'!I11,IF($C$23="Actual",'GA Rates'!J11,0)))</f>
        <v>8.7340000000000001E-2</v>
      </c>
      <c r="H48" s="130">
        <f t="shared" si="1"/>
        <v>1400278.02596</v>
      </c>
      <c r="I48" s="20">
        <f>'GA Rates'!J11</f>
        <v>5.1070000000000004E-2</v>
      </c>
      <c r="J48" s="132">
        <f t="shared" si="2"/>
        <v>818779.4685800001</v>
      </c>
      <c r="K48" s="133">
        <f t="shared" si="3"/>
        <v>-581498.5573799999</v>
      </c>
      <c r="N48"/>
      <c r="O48"/>
      <c r="P48"/>
      <c r="Q48"/>
      <c r="R48"/>
      <c r="S48"/>
      <c r="T48"/>
      <c r="U48"/>
      <c r="V48"/>
      <c r="W48"/>
    </row>
    <row r="49" spans="2:23" s="1" customFormat="1" x14ac:dyDescent="0.3">
      <c r="B49" s="13" t="s">
        <v>126</v>
      </c>
      <c r="C49" s="126">
        <v>16613105</v>
      </c>
      <c r="D49" s="125">
        <f t="shared" si="4"/>
        <v>14810175</v>
      </c>
      <c r="E49" s="126">
        <f>16009690+1169992-189972-43983-46648-44600-34788-30457-32449-33472+265+1017939</f>
        <v>17741517</v>
      </c>
      <c r="F49" s="127">
        <f t="shared" si="0"/>
        <v>19544447</v>
      </c>
      <c r="G49" s="20">
        <f>IF($C$23="1st Estimate",'GA Rates'!H12,IF($C$23="2nd Estimate",'GA Rates'!I12,IF($C$23="Actual",'GA Rates'!J12,0)))</f>
        <v>5.5190000000000003E-2</v>
      </c>
      <c r="H49" s="130">
        <f t="shared" si="1"/>
        <v>1078658.02993</v>
      </c>
      <c r="I49" s="20">
        <f>'GA Rates'!J12</f>
        <v>8.234000000000001E-2</v>
      </c>
      <c r="J49" s="132">
        <f t="shared" si="2"/>
        <v>1609289.7659800001</v>
      </c>
      <c r="K49" s="133">
        <f t="shared" si="3"/>
        <v>530631.73605000018</v>
      </c>
      <c r="N49"/>
      <c r="O49"/>
      <c r="P49"/>
      <c r="Q49"/>
      <c r="R49"/>
      <c r="S49"/>
      <c r="T49"/>
      <c r="U49"/>
      <c r="V49"/>
      <c r="W49"/>
    </row>
    <row r="50" spans="2:23" s="1" customFormat="1" x14ac:dyDescent="0.3">
      <c r="B50" s="13" t="s">
        <v>127</v>
      </c>
      <c r="C50" s="126">
        <v>16894084</v>
      </c>
      <c r="D50" s="125">
        <f t="shared" si="4"/>
        <v>17741517</v>
      </c>
      <c r="E50" s="126">
        <f>265+15527899+1017939+1027271+209</f>
        <v>17573583</v>
      </c>
      <c r="F50" s="127">
        <f t="shared" si="0"/>
        <v>16726150</v>
      </c>
      <c r="G50" s="20">
        <f>IF($C$23="1st Estimate",'GA Rates'!H13,IF($C$23="2nd Estimate",'GA Rates'!I13,IF($C$23="Actual",'GA Rates'!J13,0)))</f>
        <v>7.4020000000000002E-2</v>
      </c>
      <c r="H50" s="130">
        <f t="shared" si="1"/>
        <v>1238069.6230000001</v>
      </c>
      <c r="I50" s="20">
        <f>'GA Rates'!J13</f>
        <v>5.8400000000000001E-2</v>
      </c>
      <c r="J50" s="132">
        <f t="shared" si="2"/>
        <v>976807.16</v>
      </c>
      <c r="K50" s="133">
        <f t="shared" si="3"/>
        <v>-261262.46300000011</v>
      </c>
      <c r="N50"/>
      <c r="O50"/>
      <c r="P50"/>
      <c r="Q50"/>
      <c r="R50"/>
      <c r="S50"/>
      <c r="T50"/>
      <c r="U50"/>
      <c r="V50"/>
      <c r="W50"/>
    </row>
    <row r="51" spans="2:23" s="1" customFormat="1" x14ac:dyDescent="0.3">
      <c r="B51" s="13" t="s">
        <v>128</v>
      </c>
      <c r="C51" s="126">
        <v>16687281</v>
      </c>
      <c r="D51" s="125">
        <f t="shared" si="4"/>
        <v>17573583</v>
      </c>
      <c r="E51" s="126">
        <f>15811807+1027271+209+1252843-80587-65605</f>
        <v>17945938</v>
      </c>
      <c r="F51" s="127">
        <f t="shared" si="0"/>
        <v>17059636</v>
      </c>
      <c r="G51" s="20">
        <f>IF($C$23="1st Estimate",'GA Rates'!H14,IF($C$23="2nd Estimate",'GA Rates'!I14,IF($C$23="Actual",'GA Rates'!J14,0)))</f>
        <v>6.3420000000000004E-2</v>
      </c>
      <c r="H51" s="130">
        <f t="shared" si="1"/>
        <v>1081922.11512</v>
      </c>
      <c r="I51" s="20">
        <f>'GA Rates'!J14</f>
        <v>6.0120000000000007E-2</v>
      </c>
      <c r="J51" s="132">
        <f t="shared" si="2"/>
        <v>1025625.3163200001</v>
      </c>
      <c r="K51" s="133">
        <f t="shared" si="3"/>
        <v>-56296.798799999873</v>
      </c>
      <c r="N51"/>
      <c r="O51"/>
      <c r="P51"/>
      <c r="Q51"/>
      <c r="R51"/>
      <c r="S51"/>
      <c r="T51"/>
      <c r="U51"/>
      <c r="V51"/>
      <c r="W51"/>
    </row>
    <row r="52" spans="2:23" s="1" customFormat="1" x14ac:dyDescent="0.3">
      <c r="B52" s="13" t="s">
        <v>129</v>
      </c>
      <c r="C52" s="128">
        <v>16890569</v>
      </c>
      <c r="D52" s="125">
        <f t="shared" si="4"/>
        <v>17945938</v>
      </c>
      <c r="E52" s="126">
        <f>15999041+1252843-80587-65605+1808460</f>
        <v>18914152</v>
      </c>
      <c r="F52" s="127">
        <f t="shared" si="0"/>
        <v>17858783</v>
      </c>
      <c r="G52" s="20">
        <f>IF($C$23="1st Estimate",'GA Rates'!H15,IF($C$23="2nd Estimate",'GA Rates'!I15,IF($C$23="Actual",'GA Rates'!J15,0)))</f>
        <v>5.4429999999999999E-2</v>
      </c>
      <c r="H52" s="130">
        <f t="shared" si="1"/>
        <v>972053.55868999998</v>
      </c>
      <c r="I52" s="20">
        <f>'GA Rates'!J15</f>
        <v>6.515E-2</v>
      </c>
      <c r="J52" s="132">
        <f t="shared" si="2"/>
        <v>1163499.71245</v>
      </c>
      <c r="K52" s="133">
        <f t="shared" si="3"/>
        <v>191446.15376000002</v>
      </c>
      <c r="N52"/>
      <c r="O52"/>
      <c r="P52"/>
      <c r="Q52"/>
      <c r="R52"/>
      <c r="S52"/>
      <c r="T52"/>
      <c r="U52"/>
      <c r="V52"/>
      <c r="W52"/>
    </row>
    <row r="53" spans="2:23" s="1" customFormat="1" ht="28.8" thickBot="1" x14ac:dyDescent="0.35">
      <c r="B53" s="102" t="s">
        <v>130</v>
      </c>
      <c r="C53" s="129">
        <f>SUM(C41:C52)</f>
        <v>207164004</v>
      </c>
      <c r="D53" s="129">
        <f>SUM(D41:D52)</f>
        <v>214170712</v>
      </c>
      <c r="E53" s="129">
        <f>SUM(E41:E52)</f>
        <v>213418688</v>
      </c>
      <c r="F53" s="129">
        <f>SUM(F41:F52)</f>
        <v>206411980</v>
      </c>
      <c r="G53" s="33"/>
      <c r="H53" s="131">
        <f>SUM(H41:H52)</f>
        <v>16773164.942169998</v>
      </c>
      <c r="I53" s="33"/>
      <c r="J53" s="131">
        <f>SUM(J41:J52)</f>
        <v>16396741.95682</v>
      </c>
      <c r="K53" s="134">
        <f>SUM(K41:K52)</f>
        <v>-376422.98534999986</v>
      </c>
      <c r="N53"/>
      <c r="O53"/>
      <c r="P53"/>
      <c r="Q53"/>
      <c r="R53"/>
      <c r="S53"/>
      <c r="T53"/>
      <c r="U53"/>
      <c r="V53"/>
      <c r="W53"/>
    </row>
    <row r="54" spans="2:23" s="1" customFormat="1" ht="15" thickBot="1" x14ac:dyDescent="0.35">
      <c r="B54" s="62"/>
      <c r="C54" s="177"/>
      <c r="D54" s="177"/>
      <c r="E54" s="177"/>
      <c r="F54" s="177"/>
      <c r="G54" s="2"/>
      <c r="H54" s="178"/>
      <c r="I54" s="2"/>
      <c r="J54" s="178"/>
      <c r="K54" s="178"/>
      <c r="N54"/>
      <c r="O54"/>
      <c r="P54"/>
      <c r="Q54"/>
      <c r="R54"/>
      <c r="S54"/>
      <c r="T54"/>
      <c r="U54"/>
      <c r="V54"/>
      <c r="W54"/>
    </row>
    <row r="55" spans="2:23" s="1" customFormat="1" ht="83.4" customHeight="1" x14ac:dyDescent="0.3">
      <c r="B55" s="266" t="s">
        <v>211</v>
      </c>
      <c r="C55" s="177"/>
      <c r="D55" s="177"/>
      <c r="E55" s="177"/>
      <c r="F55" s="177"/>
      <c r="G55" s="182" t="s">
        <v>170</v>
      </c>
      <c r="H55" s="183" t="s">
        <v>212</v>
      </c>
      <c r="I55" s="54" t="s">
        <v>172</v>
      </c>
      <c r="J55" s="184" t="s">
        <v>173</v>
      </c>
      <c r="K55" s="185" t="s">
        <v>174</v>
      </c>
      <c r="N55"/>
      <c r="O55"/>
      <c r="P55"/>
      <c r="Q55"/>
      <c r="R55"/>
      <c r="S55"/>
      <c r="T55"/>
      <c r="U55"/>
      <c r="V55"/>
      <c r="W55"/>
    </row>
    <row r="56" spans="2:23" s="1" customFormat="1" ht="13.8" x14ac:dyDescent="0.25">
      <c r="G56" s="186" t="s">
        <v>175</v>
      </c>
      <c r="H56" s="187" t="s">
        <v>176</v>
      </c>
      <c r="I56" s="188" t="s">
        <v>177</v>
      </c>
      <c r="J56" s="189" t="s">
        <v>178</v>
      </c>
      <c r="K56" s="190" t="s">
        <v>179</v>
      </c>
      <c r="O56" s="29"/>
      <c r="P56" s="29"/>
      <c r="Q56" s="29"/>
      <c r="R56" s="29"/>
      <c r="S56" s="29"/>
      <c r="T56" s="29"/>
      <c r="U56" s="29"/>
      <c r="V56" s="29"/>
      <c r="W56" s="29"/>
    </row>
    <row r="57" spans="2:23" s="1" customFormat="1" thickBot="1" x14ac:dyDescent="0.3">
      <c r="G57" s="261">
        <v>205889527.94805297</v>
      </c>
      <c r="H57" s="287">
        <f>+F53</f>
        <v>206411980</v>
      </c>
      <c r="I57" s="221">
        <f>G57-H57</f>
        <v>-522452.05194702744</v>
      </c>
      <c r="J57" s="264">
        <v>7.2835845665696106E-2</v>
      </c>
      <c r="K57" s="220">
        <f>I57*J57</f>
        <v>-38053.237023339934</v>
      </c>
      <c r="O57" s="29"/>
      <c r="P57" s="29"/>
      <c r="Q57" s="29"/>
      <c r="R57" s="29"/>
      <c r="S57" s="29"/>
      <c r="T57" s="29"/>
      <c r="U57" s="29"/>
      <c r="V57" s="29"/>
      <c r="W57" s="29"/>
    </row>
    <row r="58" spans="2:23" s="1" customFormat="1" ht="42.6" customHeight="1" x14ac:dyDescent="0.25">
      <c r="G58" s="339"/>
      <c r="H58" s="339"/>
      <c r="I58" s="339"/>
      <c r="J58" s="339"/>
      <c r="K58" s="339"/>
      <c r="O58" s="29"/>
      <c r="P58" s="29"/>
      <c r="Q58" s="29"/>
      <c r="R58" s="29"/>
      <c r="S58" s="29"/>
      <c r="T58" s="29"/>
      <c r="U58" s="29"/>
      <c r="V58" s="29"/>
      <c r="W58" s="29"/>
    </row>
    <row r="59" spans="2:23" s="1" customFormat="1" ht="67.2" customHeight="1" thickBot="1" x14ac:dyDescent="0.3">
      <c r="G59" s="334"/>
      <c r="H59" s="334"/>
      <c r="I59" s="334"/>
      <c r="J59" s="334"/>
      <c r="K59" s="334"/>
      <c r="O59" s="29"/>
      <c r="P59" s="29"/>
      <c r="Q59" s="29"/>
      <c r="R59" s="29"/>
      <c r="S59" s="29"/>
      <c r="T59" s="29"/>
      <c r="U59" s="29"/>
      <c r="V59" s="29"/>
      <c r="W59" s="29"/>
    </row>
    <row r="60" spans="2:23" s="1" customFormat="1" thickBot="1" x14ac:dyDescent="0.3">
      <c r="G60" s="179"/>
      <c r="H60" s="180"/>
      <c r="I60" s="181"/>
      <c r="J60" s="191" t="s">
        <v>182</v>
      </c>
      <c r="K60" s="192">
        <f>K53+K57</f>
        <v>-414476.22237333981</v>
      </c>
      <c r="O60" s="29"/>
      <c r="P60" s="29"/>
      <c r="Q60" s="29"/>
      <c r="R60" s="29"/>
      <c r="S60" s="29"/>
      <c r="T60" s="29"/>
      <c r="U60" s="29"/>
      <c r="V60" s="29"/>
      <c r="W60" s="29"/>
    </row>
    <row r="61" spans="2:23" s="1" customFormat="1" ht="60" customHeight="1" x14ac:dyDescent="0.25">
      <c r="H61" s="317" t="s">
        <v>183</v>
      </c>
      <c r="I61" s="317"/>
      <c r="J61" s="317"/>
      <c r="K61" s="239">
        <f>IFERROR(F53/D18,0)</f>
        <v>1.0358100294955881</v>
      </c>
      <c r="O61" s="29"/>
      <c r="P61" s="29"/>
      <c r="Q61" s="29"/>
      <c r="R61" s="29"/>
      <c r="S61" s="29"/>
      <c r="T61" s="29"/>
      <c r="U61" s="29"/>
      <c r="V61" s="29"/>
      <c r="W61" s="29"/>
    </row>
    <row r="62" spans="2:23" s="1" customFormat="1" ht="30" customHeight="1" x14ac:dyDescent="0.25">
      <c r="H62" s="317" t="s">
        <v>184</v>
      </c>
      <c r="I62" s="317"/>
      <c r="J62" s="317"/>
      <c r="K62" s="237">
        <v>1.0375000000000001</v>
      </c>
      <c r="O62" s="29"/>
      <c r="P62" s="29"/>
      <c r="Q62" s="29"/>
      <c r="R62" s="29"/>
      <c r="S62" s="29"/>
      <c r="T62" s="29"/>
      <c r="U62" s="29"/>
      <c r="V62" s="29"/>
      <c r="W62" s="29"/>
    </row>
    <row r="63" spans="2:23" s="1" customFormat="1" ht="13.8" x14ac:dyDescent="0.25">
      <c r="H63" s="317" t="s">
        <v>185</v>
      </c>
      <c r="I63" s="317"/>
      <c r="J63" s="317"/>
      <c r="K63" s="111">
        <f>K61-K62</f>
        <v>-1.6899705044119973E-3</v>
      </c>
      <c r="O63" s="29"/>
      <c r="P63" s="29"/>
      <c r="Q63" s="29"/>
      <c r="R63" s="29"/>
      <c r="S63" s="29"/>
      <c r="T63" s="29"/>
      <c r="U63" s="29"/>
      <c r="V63" s="29"/>
      <c r="W63" s="29"/>
    </row>
    <row r="64" spans="2:23" s="1" customFormat="1" ht="28.2" customHeight="1" thickBot="1" x14ac:dyDescent="0.3">
      <c r="B64" s="333" t="s">
        <v>186</v>
      </c>
      <c r="C64" s="333"/>
      <c r="D64" s="333"/>
      <c r="H64" s="149"/>
      <c r="I64" s="149"/>
      <c r="J64" s="149"/>
      <c r="K64" s="111"/>
      <c r="O64" s="29"/>
      <c r="P64" s="29"/>
      <c r="Q64" s="29"/>
      <c r="R64" s="29"/>
      <c r="S64" s="29"/>
      <c r="T64" s="29"/>
      <c r="U64" s="29"/>
      <c r="V64" s="29"/>
      <c r="W64" s="29"/>
    </row>
    <row r="65" spans="1:23" s="1" customFormat="1" thickBot="1" x14ac:dyDescent="0.3">
      <c r="B65" s="324"/>
      <c r="C65" s="325"/>
      <c r="D65" s="326"/>
      <c r="E65" s="161"/>
      <c r="F65" s="2" t="s">
        <v>187</v>
      </c>
      <c r="H65" s="149"/>
      <c r="I65" s="149"/>
      <c r="J65" s="149"/>
      <c r="K65" s="111"/>
      <c r="O65" s="29"/>
      <c r="P65" s="29"/>
      <c r="Q65" s="29"/>
      <c r="R65" s="29"/>
      <c r="S65" s="29"/>
      <c r="T65" s="29"/>
      <c r="U65" s="29"/>
      <c r="V65" s="29"/>
      <c r="W65" s="29"/>
    </row>
    <row r="66" spans="1:23" s="1" customFormat="1" ht="15" customHeight="1" x14ac:dyDescent="0.25">
      <c r="B66" s="327"/>
      <c r="C66" s="328"/>
      <c r="D66" s="329"/>
      <c r="E66" s="161"/>
      <c r="F66" s="324"/>
      <c r="G66" s="325"/>
      <c r="H66" s="325"/>
      <c r="I66" s="325"/>
      <c r="J66" s="325"/>
      <c r="K66" s="326"/>
      <c r="O66" s="29"/>
      <c r="P66" s="29"/>
      <c r="Q66" s="29"/>
      <c r="R66" s="29"/>
      <c r="S66" s="29"/>
      <c r="T66" s="29"/>
      <c r="U66" s="29"/>
      <c r="V66" s="29"/>
      <c r="W66" s="29"/>
    </row>
    <row r="67" spans="1:23" s="1" customFormat="1" ht="15" customHeight="1" x14ac:dyDescent="0.25">
      <c r="B67" s="327"/>
      <c r="C67" s="328"/>
      <c r="D67" s="329"/>
      <c r="E67" s="161"/>
      <c r="F67" s="327"/>
      <c r="G67" s="328"/>
      <c r="H67" s="328"/>
      <c r="I67" s="328"/>
      <c r="J67" s="328"/>
      <c r="K67" s="329"/>
      <c r="O67" s="29"/>
      <c r="P67" s="29"/>
      <c r="Q67" s="29"/>
      <c r="R67" s="29"/>
      <c r="S67" s="29"/>
      <c r="T67" s="29"/>
      <c r="U67" s="29"/>
      <c r="V67" s="29"/>
      <c r="W67" s="29"/>
    </row>
    <row r="68" spans="1:23" s="1" customFormat="1" ht="15" customHeight="1" x14ac:dyDescent="0.25">
      <c r="B68" s="327"/>
      <c r="C68" s="328"/>
      <c r="D68" s="329"/>
      <c r="E68" s="161"/>
      <c r="F68" s="327"/>
      <c r="G68" s="328"/>
      <c r="H68" s="328"/>
      <c r="I68" s="328"/>
      <c r="J68" s="328"/>
      <c r="K68" s="329"/>
      <c r="O68" s="29"/>
      <c r="P68" s="29"/>
      <c r="Q68" s="29"/>
      <c r="R68" s="29"/>
      <c r="S68" s="29"/>
      <c r="T68" s="29"/>
      <c r="U68" s="29"/>
      <c r="V68" s="29"/>
      <c r="W68" s="29"/>
    </row>
    <row r="69" spans="1:23" s="1" customFormat="1" ht="15" customHeight="1" x14ac:dyDescent="0.25">
      <c r="B69" s="327"/>
      <c r="C69" s="328"/>
      <c r="D69" s="329"/>
      <c r="E69" s="161"/>
      <c r="F69" s="327"/>
      <c r="G69" s="328"/>
      <c r="H69" s="328"/>
      <c r="I69" s="328"/>
      <c r="J69" s="328"/>
      <c r="K69" s="329"/>
      <c r="O69" s="29"/>
      <c r="P69" s="29"/>
      <c r="Q69" s="29"/>
      <c r="R69" s="29"/>
      <c r="S69" s="29"/>
      <c r="T69" s="29"/>
      <c r="U69" s="29"/>
      <c r="V69" s="29"/>
      <c r="W69" s="29"/>
    </row>
    <row r="70" spans="1:23" s="1" customFormat="1" ht="15" customHeight="1" x14ac:dyDescent="0.25">
      <c r="B70" s="327"/>
      <c r="C70" s="328"/>
      <c r="D70" s="329"/>
      <c r="E70" s="161"/>
      <c r="F70" s="327"/>
      <c r="G70" s="328"/>
      <c r="H70" s="328"/>
      <c r="I70" s="328"/>
      <c r="J70" s="328"/>
      <c r="K70" s="329"/>
      <c r="O70" s="29"/>
      <c r="P70" s="29"/>
      <c r="Q70" s="29"/>
      <c r="R70" s="29"/>
      <c r="S70" s="29"/>
      <c r="T70" s="29"/>
      <c r="U70" s="29"/>
      <c r="V70" s="29"/>
      <c r="W70" s="29"/>
    </row>
    <row r="71" spans="1:23" s="1" customFormat="1" ht="15.75" customHeight="1" thickBot="1" x14ac:dyDescent="0.3">
      <c r="B71" s="330"/>
      <c r="C71" s="331"/>
      <c r="D71" s="332"/>
      <c r="E71" s="161"/>
      <c r="F71" s="330"/>
      <c r="G71" s="331"/>
      <c r="H71" s="331"/>
      <c r="I71" s="331"/>
      <c r="J71" s="331"/>
      <c r="K71" s="332"/>
      <c r="O71" s="29"/>
      <c r="P71" s="29"/>
      <c r="Q71" s="29"/>
      <c r="R71" s="29"/>
      <c r="S71" s="29"/>
      <c r="T71" s="29"/>
      <c r="U71" s="29"/>
      <c r="V71" s="29"/>
      <c r="W71" s="29"/>
    </row>
    <row r="72" spans="1:23" s="1" customFormat="1" ht="37.200000000000003" customHeight="1" x14ac:dyDescent="0.25">
      <c r="A72" s="1" t="s">
        <v>131</v>
      </c>
      <c r="B72" s="37" t="s">
        <v>132</v>
      </c>
      <c r="C72" s="2"/>
      <c r="K72" s="91"/>
      <c r="O72" s="29"/>
      <c r="P72" s="29"/>
      <c r="Q72" s="29"/>
      <c r="R72" s="29"/>
      <c r="S72" s="29"/>
      <c r="T72" s="29"/>
      <c r="U72" s="29"/>
      <c r="V72" s="29"/>
      <c r="W72" s="29"/>
    </row>
    <row r="73" spans="1:23" s="1" customFormat="1" ht="13.8" x14ac:dyDescent="0.25">
      <c r="B73" s="3"/>
      <c r="C73" s="2"/>
      <c r="K73" s="99"/>
    </row>
    <row r="74" spans="1:23" s="1" customFormat="1" ht="15" customHeight="1" x14ac:dyDescent="0.25">
      <c r="A74" s="11"/>
      <c r="B74" s="78" t="s">
        <v>133</v>
      </c>
      <c r="C74" s="113" t="s">
        <v>188</v>
      </c>
      <c r="D74" s="307" t="s">
        <v>136</v>
      </c>
      <c r="E74" s="307"/>
      <c r="F74" s="307"/>
      <c r="G74" s="307"/>
      <c r="H74" s="307"/>
      <c r="I74" s="322" t="s">
        <v>189</v>
      </c>
      <c r="J74" s="322"/>
      <c r="K74" s="322"/>
    </row>
    <row r="75" spans="1:23" s="1" customFormat="1" ht="63.6" customHeight="1" x14ac:dyDescent="0.25">
      <c r="A75" s="336" t="s">
        <v>137</v>
      </c>
      <c r="B75" s="337"/>
      <c r="C75" s="135">
        <f>-171855.07-1424005.59+80032.76</f>
        <v>-1515827.9000000001</v>
      </c>
      <c r="D75" s="298"/>
      <c r="E75" s="299"/>
      <c r="F75" s="299"/>
      <c r="G75" s="299"/>
      <c r="H75" s="300"/>
      <c r="I75" s="118" t="s">
        <v>190</v>
      </c>
      <c r="J75" s="323" t="s">
        <v>191</v>
      </c>
      <c r="K75" s="323"/>
    </row>
    <row r="76" spans="1:23" s="1" customFormat="1" ht="27.6" x14ac:dyDescent="0.25">
      <c r="A76" s="60" t="s">
        <v>138</v>
      </c>
      <c r="B76" s="39" t="s">
        <v>192</v>
      </c>
      <c r="C76" s="135">
        <v>-170666.67</v>
      </c>
      <c r="D76" s="318" t="s">
        <v>471</v>
      </c>
      <c r="E76" s="318"/>
      <c r="F76" s="318"/>
      <c r="G76" s="318"/>
      <c r="H76" s="318"/>
      <c r="I76" s="115" t="s">
        <v>214</v>
      </c>
      <c r="J76" s="314"/>
      <c r="K76" s="314"/>
    </row>
    <row r="77" spans="1:23" s="1" customFormat="1" ht="27.6" x14ac:dyDescent="0.25">
      <c r="A77" s="60" t="s">
        <v>140</v>
      </c>
      <c r="B77" s="39" t="s">
        <v>193</v>
      </c>
      <c r="C77" s="135">
        <v>-208749</v>
      </c>
      <c r="D77" s="319" t="s">
        <v>472</v>
      </c>
      <c r="E77" s="320"/>
      <c r="F77" s="320"/>
      <c r="G77" s="320"/>
      <c r="H77" s="321"/>
      <c r="I77" s="115" t="s">
        <v>214</v>
      </c>
      <c r="J77" s="314"/>
      <c r="K77" s="314"/>
      <c r="L77" s="4"/>
      <c r="M77" s="4"/>
      <c r="N77" s="4"/>
      <c r="O77" s="4"/>
    </row>
    <row r="78" spans="1:23" s="1" customFormat="1" ht="27.6" x14ac:dyDescent="0.25">
      <c r="A78" s="60" t="s">
        <v>142</v>
      </c>
      <c r="B78" s="39" t="s">
        <v>143</v>
      </c>
      <c r="C78" s="135"/>
      <c r="D78" s="318"/>
      <c r="E78" s="318"/>
      <c r="F78" s="318"/>
      <c r="G78" s="318"/>
      <c r="H78" s="318"/>
      <c r="I78" s="115"/>
      <c r="J78" s="314"/>
      <c r="K78" s="314"/>
      <c r="L78" s="4"/>
      <c r="M78" s="4"/>
      <c r="N78" s="4"/>
      <c r="O78" s="4"/>
    </row>
    <row r="79" spans="1:23" s="1" customFormat="1" ht="27.6" x14ac:dyDescent="0.25">
      <c r="A79" s="60" t="s">
        <v>144</v>
      </c>
      <c r="B79" s="39" t="s">
        <v>145</v>
      </c>
      <c r="C79" s="135"/>
      <c r="D79" s="319"/>
      <c r="E79" s="320"/>
      <c r="F79" s="320"/>
      <c r="G79" s="320"/>
      <c r="H79" s="321"/>
      <c r="I79" s="115"/>
      <c r="J79" s="314"/>
      <c r="K79" s="314"/>
      <c r="L79" s="4"/>
      <c r="M79" s="4"/>
      <c r="N79" s="4"/>
      <c r="O79" s="4"/>
    </row>
    <row r="80" spans="1:23" s="1" customFormat="1" ht="27.6" x14ac:dyDescent="0.25">
      <c r="A80" s="60" t="s">
        <v>146</v>
      </c>
      <c r="B80" s="39" t="s">
        <v>197</v>
      </c>
      <c r="C80" s="135"/>
      <c r="D80" s="318"/>
      <c r="E80" s="318"/>
      <c r="F80" s="318"/>
      <c r="G80" s="318"/>
      <c r="H80" s="318"/>
      <c r="I80" s="115"/>
      <c r="J80" s="314"/>
      <c r="K80" s="314"/>
      <c r="L80" s="4"/>
      <c r="M80" s="4"/>
      <c r="N80" s="4"/>
      <c r="O80" s="4"/>
    </row>
    <row r="81" spans="1:15" s="1" customFormat="1" ht="27.6" x14ac:dyDescent="0.25">
      <c r="A81" s="60" t="s">
        <v>148</v>
      </c>
      <c r="B81" s="39" t="s">
        <v>199</v>
      </c>
      <c r="C81" s="135"/>
      <c r="D81" s="318"/>
      <c r="E81" s="318"/>
      <c r="F81" s="318"/>
      <c r="G81" s="318"/>
      <c r="H81" s="318"/>
      <c r="I81" s="115"/>
      <c r="J81" s="314"/>
      <c r="K81" s="314"/>
      <c r="L81" s="4"/>
      <c r="M81" s="4"/>
      <c r="N81" s="4"/>
      <c r="O81" s="4"/>
    </row>
    <row r="82" spans="1:15" s="1" customFormat="1" ht="33.75" customHeight="1" x14ac:dyDescent="0.25">
      <c r="A82" s="60">
        <v>4</v>
      </c>
      <c r="B82" s="103" t="s">
        <v>205</v>
      </c>
      <c r="C82" s="135"/>
      <c r="D82" s="318"/>
      <c r="E82" s="318"/>
      <c r="F82" s="318"/>
      <c r="G82" s="318"/>
      <c r="H82" s="318"/>
      <c r="I82" s="115"/>
      <c r="J82" s="314"/>
      <c r="K82" s="314"/>
      <c r="L82" s="4"/>
      <c r="M82" s="4"/>
      <c r="N82" s="4"/>
      <c r="O82" s="4"/>
    </row>
    <row r="83" spans="1:15" s="1" customFormat="1" ht="13.8" x14ac:dyDescent="0.25">
      <c r="A83" s="60">
        <v>5</v>
      </c>
      <c r="B83" s="112" t="s">
        <v>213</v>
      </c>
      <c r="C83" s="135"/>
      <c r="D83" s="318"/>
      <c r="E83" s="318"/>
      <c r="F83" s="318"/>
      <c r="G83" s="318"/>
      <c r="H83" s="318"/>
      <c r="I83" s="115"/>
      <c r="J83" s="314"/>
      <c r="K83" s="314"/>
      <c r="L83" s="4"/>
      <c r="M83" s="4"/>
      <c r="N83" s="4"/>
      <c r="O83" s="4"/>
    </row>
    <row r="84" spans="1:15" s="1" customFormat="1" ht="27.6" x14ac:dyDescent="0.25">
      <c r="A84" s="44">
        <v>6</v>
      </c>
      <c r="B84" s="116" t="s">
        <v>236</v>
      </c>
      <c r="C84" s="135">
        <v>1424005.59</v>
      </c>
      <c r="D84" s="318" t="s">
        <v>487</v>
      </c>
      <c r="E84" s="318"/>
      <c r="F84" s="318"/>
      <c r="G84" s="318"/>
      <c r="H84" s="318"/>
      <c r="I84" s="115" t="s">
        <v>214</v>
      </c>
      <c r="J84" s="314"/>
      <c r="K84" s="314"/>
    </row>
    <row r="85" spans="1:15" s="1" customFormat="1" ht="27.6" x14ac:dyDescent="0.25">
      <c r="A85" s="44">
        <v>7</v>
      </c>
      <c r="B85" s="116" t="s">
        <v>469</v>
      </c>
      <c r="C85" s="135">
        <v>-80032.759999999995</v>
      </c>
      <c r="D85" s="318" t="s">
        <v>470</v>
      </c>
      <c r="E85" s="318"/>
      <c r="F85" s="318"/>
      <c r="G85" s="318"/>
      <c r="H85" s="318"/>
      <c r="I85" s="115" t="s">
        <v>214</v>
      </c>
      <c r="J85" s="314"/>
      <c r="K85" s="314"/>
    </row>
    <row r="86" spans="1:15" s="1" customFormat="1" ht="13.8" x14ac:dyDescent="0.25">
      <c r="A86" s="44">
        <v>8</v>
      </c>
      <c r="B86" s="116"/>
      <c r="C86" s="135"/>
      <c r="D86" s="318"/>
      <c r="E86" s="318"/>
      <c r="F86" s="318"/>
      <c r="G86" s="318"/>
      <c r="H86" s="318"/>
      <c r="I86" s="115"/>
      <c r="J86" s="314"/>
      <c r="K86" s="314"/>
    </row>
    <row r="87" spans="1:15" s="1" customFormat="1" ht="13.8" x14ac:dyDescent="0.25">
      <c r="A87" s="44">
        <v>9</v>
      </c>
      <c r="B87" s="116"/>
      <c r="C87" s="135"/>
      <c r="D87" s="319"/>
      <c r="E87" s="320"/>
      <c r="F87" s="320"/>
      <c r="G87" s="320"/>
      <c r="H87" s="321"/>
      <c r="I87" s="115"/>
      <c r="J87" s="314"/>
      <c r="K87" s="314"/>
    </row>
    <row r="88" spans="1:15" s="1" customFormat="1" ht="13.8" x14ac:dyDescent="0.25">
      <c r="A88" s="44">
        <v>10</v>
      </c>
      <c r="B88" s="116"/>
      <c r="C88" s="135"/>
      <c r="D88" s="318"/>
      <c r="E88" s="318"/>
      <c r="F88" s="318"/>
      <c r="G88" s="318"/>
      <c r="H88" s="318"/>
      <c r="I88" s="115"/>
      <c r="J88" s="314"/>
      <c r="K88" s="314"/>
    </row>
    <row r="89" spans="1:15" s="1" customFormat="1" ht="13.8" x14ac:dyDescent="0.25">
      <c r="A89" s="44">
        <v>11</v>
      </c>
      <c r="B89" s="116"/>
      <c r="C89" s="135"/>
      <c r="D89" s="318"/>
      <c r="E89" s="318"/>
      <c r="F89" s="318"/>
      <c r="G89" s="318"/>
      <c r="H89" s="318"/>
      <c r="I89" s="115"/>
      <c r="J89" s="314"/>
      <c r="K89" s="314"/>
    </row>
    <row r="90" spans="1:15" s="1" customFormat="1" ht="13.8" x14ac:dyDescent="0.25">
      <c r="A90" s="1" t="s">
        <v>153</v>
      </c>
      <c r="B90" s="9" t="s">
        <v>154</v>
      </c>
      <c r="C90" s="136">
        <f>SUM(C75:C89)</f>
        <v>-551270.74</v>
      </c>
      <c r="D90" s="25"/>
      <c r="E90" s="25"/>
      <c r="F90" s="25"/>
      <c r="G90" s="25"/>
    </row>
    <row r="91" spans="1:15" s="1" customFormat="1" ht="27.6" x14ac:dyDescent="0.25">
      <c r="B91" s="62" t="s">
        <v>155</v>
      </c>
      <c r="C91" s="137">
        <f>K60</f>
        <v>-414476.22237333981</v>
      </c>
      <c r="D91" s="25"/>
      <c r="E91" s="25"/>
      <c r="F91" s="25"/>
      <c r="G91" s="25"/>
    </row>
    <row r="92" spans="1:15" s="1" customFormat="1" ht="13.8" x14ac:dyDescent="0.25">
      <c r="B92" s="62" t="s">
        <v>156</v>
      </c>
      <c r="C92" s="138">
        <f>C90-C91</f>
        <v>-136794.51762666018</v>
      </c>
    </row>
    <row r="93" spans="1:15" s="1" customFormat="1" ht="28.2" thickBot="1" x14ac:dyDescent="0.3">
      <c r="B93" s="62" t="s">
        <v>157</v>
      </c>
      <c r="C93" s="268">
        <f>IF(ISERROR(C92/J53),0,C92/J53)</f>
        <v>-8.3427865113021651E-3</v>
      </c>
      <c r="D93" s="80" t="str">
        <f>IF(AND(C93&lt;0.01,C93&gt;-0.01),"","Unresolved differences of greater than + or - 1% should be explained")</f>
        <v/>
      </c>
      <c r="F93" s="4"/>
    </row>
    <row r="94" spans="1:15" s="1" customFormat="1" thickTop="1" x14ac:dyDescent="0.25">
      <c r="B94" s="2"/>
      <c r="C94" s="46"/>
      <c r="D94" s="49"/>
      <c r="G94" s="4"/>
    </row>
    <row r="95" spans="1:15" s="1" customFormat="1" ht="13.8" x14ac:dyDescent="0.25">
      <c r="B95" s="2"/>
      <c r="C95" s="46"/>
      <c r="D95" s="32"/>
    </row>
    <row r="96" spans="1:15" s="1" customFormat="1" ht="13.8" x14ac:dyDescent="0.25"/>
    <row r="97" s="1" customFormat="1" ht="13.8" x14ac:dyDescent="0.25"/>
  </sheetData>
  <sheetProtection algorithmName="SHA-512" hashValue="KbCCWbXmyFOseIEXDhMIHsh4fQHri+0ZBPXnDkqA0JdNmk/CHgytq4c5n8rgoGx6xSIuDVPhGOHcdkIoSYTyKA==" saltValue="oIsNiNyrWE/kxEtlAMYseg==" spinCount="100000" sheet="1" objects="1" scenarios="1"/>
  <mergeCells count="45">
    <mergeCell ref="H61:J61"/>
    <mergeCell ref="B13:C13"/>
    <mergeCell ref="E13:F13"/>
    <mergeCell ref="B19:H19"/>
    <mergeCell ref="G59:K59"/>
    <mergeCell ref="G58:K58"/>
    <mergeCell ref="B25:E25"/>
    <mergeCell ref="D77:H77"/>
    <mergeCell ref="J77:K77"/>
    <mergeCell ref="H62:J62"/>
    <mergeCell ref="H63:J63"/>
    <mergeCell ref="B65:D71"/>
    <mergeCell ref="F66:K71"/>
    <mergeCell ref="D74:H74"/>
    <mergeCell ref="I74:K74"/>
    <mergeCell ref="A75:B75"/>
    <mergeCell ref="D75:H75"/>
    <mergeCell ref="J75:K75"/>
    <mergeCell ref="D76:H76"/>
    <mergeCell ref="J76:K76"/>
    <mergeCell ref="B64:D64"/>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6:H86"/>
    <mergeCell ref="J86:K86"/>
    <mergeCell ref="D87:H87"/>
    <mergeCell ref="J87:K87"/>
    <mergeCell ref="D88:H88"/>
    <mergeCell ref="J88:K88"/>
    <mergeCell ref="D89:H89"/>
    <mergeCell ref="J89:K89"/>
  </mergeCells>
  <dataValidations disablePrompts="1" count="2">
    <dataValidation type="list" sqref="C23" xr:uid="{9A103A31-74E9-42C2-BD4A-20A56CF6C4CC}">
      <formula1>"1st Estimate, 2nd Estimate, Actual"</formula1>
    </dataValidation>
    <dataValidation type="list" allowBlank="1" showInputMessage="1" showErrorMessage="1" sqref="G29 I76:I89 G27 G25" xr:uid="{F5A66A69-8272-4640-8669-FB2697F74A1D}">
      <formula1>"Yes,No"</formula1>
    </dataValidation>
  </dataValidations>
  <pageMargins left="0.70866141732283472" right="0.70866141732283472" top="0.74803149606299213" bottom="0.74803149606299213" header="0.31496062992125984" footer="0.31496062992125984"/>
  <pageSetup scale="3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92589D-595A-4EF9-A9DD-E7C85D5594A9}">
  <ds:schemaRefs>
    <ds:schemaRef ds:uri="http://schemas.microsoft.com/sharepoint/v3/contenttype/forms"/>
  </ds:schemaRefs>
</ds:datastoreItem>
</file>

<file path=customXml/itemProps2.xml><?xml version="1.0" encoding="utf-8"?>
<ds:datastoreItem xmlns:ds="http://schemas.openxmlformats.org/officeDocument/2006/customXml" ds:itemID="{81861DAF-3C9D-488A-B9E4-F3F9E357A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AE1DC9-656F-46F2-8B4A-5FDB0D9BF7D2}">
  <ds:schemaRef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0f88fa1a-2dfd-460a-bd62-5264ee380bca"/>
    <ds:schemaRef ds:uri="http://www.w3.org/XML/1998/namespace"/>
    <ds:schemaRef ds:uri="http://schemas.microsoft.com/office/infopath/2007/PartnerControls"/>
    <ds:schemaRef ds:uri="033d26b1-57eb-4b60-9c03-6b92d80595e4"/>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1. Information Sheet</vt:lpstr>
      <vt:lpstr>List</vt:lpstr>
      <vt:lpstr>GA Analysis </vt:lpstr>
      <vt:lpstr>GA 2016</vt:lpstr>
      <vt:lpstr>GA 2017</vt:lpstr>
      <vt:lpstr>GA 2018</vt:lpstr>
      <vt:lpstr>GA 2019</vt:lpstr>
      <vt:lpstr>GA 2020</vt:lpstr>
      <vt:lpstr>GA 2021</vt:lpstr>
      <vt:lpstr>Account 1588</vt:lpstr>
      <vt:lpstr>Principal Adjustments</vt:lpstr>
      <vt:lpstr>GA Rates</vt:lpstr>
      <vt:lpstr>4705</vt:lpstr>
      <vt:lpstr>RRR_2017</vt:lpstr>
      <vt:lpstr>RRR_2018</vt:lpstr>
      <vt:lpstr>RRR_2019</vt:lpstr>
      <vt:lpstr>RRR_2020</vt:lpstr>
      <vt:lpstr>RRR_2021</vt:lpstr>
      <vt:lpstr>'Account 1588'!Print_Area</vt:lpstr>
      <vt:lpstr>'GA 2021'!Print_Area</vt:lpstr>
      <vt:lpstr>'GA Analysis '!Print_Area</vt:lpstr>
      <vt:lpstr>'Principal Adjustments'!Print_Area</vt:lpstr>
    </vt:vector>
  </TitlesOfParts>
  <Manager/>
  <Company>OEB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Kwan</dc:creator>
  <cp:keywords/>
  <dc:description/>
  <cp:lastModifiedBy>Leanne Ryan</cp:lastModifiedBy>
  <cp:revision/>
  <cp:lastPrinted>2022-04-05T19:14:33Z</cp:lastPrinted>
  <dcterms:created xsi:type="dcterms:W3CDTF">2017-05-01T19:29:01Z</dcterms:created>
  <dcterms:modified xsi:type="dcterms:W3CDTF">2022-05-10T14:53:07Z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